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ster sheet" sheetId="1" r:id="rId4"/>
    <sheet state="visible" name="Notes on Creative Com." sheetId="2" r:id="rId5"/>
    <sheet state="visible" name="fitness_apps_privacy" sheetId="3" r:id="rId6"/>
    <sheet state="visible" name="nutrition_apps_privacy" sheetId="4" r:id="rId7"/>
    <sheet state="visible" name="ai_companion_privacy_policy" sheetId="5" r:id="rId8"/>
    <sheet state="hidden" name="UK_social_media_breaches" sheetId="6" r:id="rId9"/>
    <sheet state="visible" name="AI_chatbots_privacy" sheetId="7" r:id="rId10"/>
    <sheet state="visible" name="oversharing_online" sheetId="8" r:id="rId11"/>
    <sheet state="visible" name="phone_cleaner_apps" sheetId="9" r:id="rId12"/>
    <sheet state="visible" name="ransomware_attacks_2025" sheetId="10" r:id="rId13"/>
    <sheet state="hidden" name="travel_cyber_threats" sheetId="11" r:id="rId14"/>
    <sheet state="visible" name="healthcare_data_breaches" sheetId="12" r:id="rId15"/>
  </sheets>
  <definedNames/>
  <calcPr/>
</workbook>
</file>

<file path=xl/sharedStrings.xml><?xml version="1.0" encoding="utf-8"?>
<sst xmlns="http://schemas.openxmlformats.org/spreadsheetml/2006/main" count="15956" uniqueCount="2679">
  <si>
    <t>We are glad to have press coverage of our studies and encourage you to share our work. We give permission for anyone to use this study’s analysis and visuals as long as you:</t>
  </si>
  <si>
    <t>• Credit Surfshark (ideally with a link to the landing page);</t>
  </si>
  <si>
    <t>• Say if you made any changes to the original piece;</t>
  </si>
  <si>
    <t>• Don't use these materials for commercial purposes;</t>
  </si>
  <si>
    <t>• If you change the materials, you also need to share them under the same rules.</t>
  </si>
  <si>
    <t>This project is licensed under Creative Commons 3.0 and the above-mentioned conditions are taken from it. If you have any questions or concerns about sharing our work, please contact media@surfshark.com before using them.</t>
  </si>
  <si>
    <t>Study: 80% of top fitness apps share user data with third parties</t>
  </si>
  <si>
    <t>Contact Info</t>
  </si>
  <si>
    <t>Health &amp; Fitness</t>
  </si>
  <si>
    <t>Financial Info</t>
  </si>
  <si>
    <t>Location</t>
  </si>
  <si>
    <t>Sensitive Info</t>
  </si>
  <si>
    <t>Contacts</t>
  </si>
  <si>
    <t>User Content</t>
  </si>
  <si>
    <t>History</t>
  </si>
  <si>
    <t>Identifiers</t>
  </si>
  <si>
    <t>Purchases</t>
  </si>
  <si>
    <t>Usage Data</t>
  </si>
  <si>
    <t>Diagnostics</t>
  </si>
  <si>
    <t>Surroundings</t>
  </si>
  <si>
    <t>Body</t>
  </si>
  <si>
    <t>Other Data</t>
  </si>
  <si>
    <t>Apple App Store URL</t>
  </si>
  <si>
    <t>App name</t>
  </si>
  <si>
    <t>Developer (full name)</t>
  </si>
  <si>
    <t>Collected unique data points</t>
  </si>
  <si>
    <t>Data used to track (T)</t>
  </si>
  <si>
    <t>Data linked to the user (L)</t>
  </si>
  <si>
    <t>Data not linked to the user (N)</t>
  </si>
  <si>
    <t>Name</t>
  </si>
  <si>
    <t>Email Address</t>
  </si>
  <si>
    <t>Phone Number</t>
  </si>
  <si>
    <t>Physical Address</t>
  </si>
  <si>
    <t>Other User Contact Info</t>
  </si>
  <si>
    <t>Health</t>
  </si>
  <si>
    <t>Fitness</t>
  </si>
  <si>
    <t>Payment Info</t>
  </si>
  <si>
    <t>Credit Info</t>
  </si>
  <si>
    <t>Other Financial Info</t>
  </si>
  <si>
    <t>Precise Location</t>
  </si>
  <si>
    <t>Coarse Location</t>
  </si>
  <si>
    <t>Emails or Text Messages</t>
  </si>
  <si>
    <t>Photos or Videos</t>
  </si>
  <si>
    <t>Audio Data</t>
  </si>
  <si>
    <t>Gameplay Content</t>
  </si>
  <si>
    <t>Customer Support</t>
  </si>
  <si>
    <t>Other User Content</t>
  </si>
  <si>
    <t>Browsing History</t>
  </si>
  <si>
    <t>Search History</t>
  </si>
  <si>
    <t>User ID</t>
  </si>
  <si>
    <t>Device ID</t>
  </si>
  <si>
    <t>Purchase History</t>
  </si>
  <si>
    <t>Product Interaction</t>
  </si>
  <si>
    <t>Advertising Data</t>
  </si>
  <si>
    <t>Other Usage Data</t>
  </si>
  <si>
    <t>Crash Data</t>
  </si>
  <si>
    <t>Performance Data</t>
  </si>
  <si>
    <t>Environment scanning</t>
  </si>
  <si>
    <t>Hands</t>
  </si>
  <si>
    <t>Head</t>
  </si>
  <si>
    <t>Other Diagnostic Data</t>
  </si>
  <si>
    <t>Other Data Types</t>
  </si>
  <si>
    <t>https://apps.apple.com/us/app/nike-training-club-wellness/id301521403</t>
  </si>
  <si>
    <t>Nike Training Club: Wellness 4+</t>
  </si>
  <si>
    <t>Nike, Inc</t>
  </si>
  <si>
    <t>L</t>
  </si>
  <si>
    <t/>
  </si>
  <si>
    <t>TL</t>
  </si>
  <si>
    <t>N</t>
  </si>
  <si>
    <t>https://apps.apple.com/us/app/future-personal-training/id1288178982</t>
  </si>
  <si>
    <t>Future Personal Training 4+</t>
  </si>
  <si>
    <t>Future Research, Inc</t>
  </si>
  <si>
    <t>https://apps.apple.com/us/app/peloton-fitness-workouts/id792750948</t>
  </si>
  <si>
    <t>Peloton: Fitness &amp; Workouts 12+</t>
  </si>
  <si>
    <t>Peloton Interactive, Inc.</t>
  </si>
  <si>
    <t>TN</t>
  </si>
  <si>
    <t>https://apps.apple.com/us/app/strava-run-bike-hike/id426826309</t>
  </si>
  <si>
    <t>Strava: Run, Bike, Hike 4+</t>
  </si>
  <si>
    <t>Strava, Inc.</t>
  </si>
  <si>
    <t>https://apps.apple.com/us/app/sweat-fitness-app-for-women/id1049234587</t>
  </si>
  <si>
    <t>Sweat: Fitness App For Women 4+</t>
  </si>
  <si>
    <t>The Bikini Body Training Company Pty Ltd</t>
  </si>
  <si>
    <t>https://apps.apple.com/us/app/ladder-strength-training-plans/id1502936453</t>
  </si>
  <si>
    <t>LADDER Strength Training Plans 4+</t>
  </si>
  <si>
    <t>Ladder Technologies, Inc.</t>
  </si>
  <si>
    <t>https://apps.apple.com/us/app/alo-moves/id601617403</t>
  </si>
  <si>
    <t>Alo Moves 4+</t>
  </si>
  <si>
    <t>Alo, LLC</t>
  </si>
  <si>
    <t>https://apps.apple.com/us/app/fiton-workouts-fitness-plans/id1442473191</t>
  </si>
  <si>
    <t>FitOn Workouts &amp; Fitness Plans 4+</t>
  </si>
  <si>
    <t>FitOn Inc.</t>
  </si>
  <si>
    <t>https://apps.apple.com/us/app/fitness/id1208224953</t>
  </si>
  <si>
    <t>Fitness 4+</t>
  </si>
  <si>
    <t>Apple</t>
  </si>
  <si>
    <t>https://apps.apple.com/us/app/fitbod-gym-fitness-planner/id1041517543</t>
  </si>
  <si>
    <t>Fitbod: Gym &amp; Fitness Planner 4+</t>
  </si>
  <si>
    <t>Fitbod Inc.</t>
  </si>
  <si>
    <t>https://apps.apple.com/us/app/fitbit-health-fitness/id462638897</t>
  </si>
  <si>
    <t>Fitbit: Health &amp; Fitness 4+</t>
  </si>
  <si>
    <t>Google</t>
  </si>
  <si>
    <t>https://apps.apple.com/us/app/push-workout-gym-tracker/id1621689462</t>
  </si>
  <si>
    <t>PUSH Workout &amp; Gym Tracker 4+</t>
  </si>
  <si>
    <t>ADPTV LIMITED</t>
  </si>
  <si>
    <t>https://apps.apple.com/us/app/runna-running-training-plans/id1594204443</t>
  </si>
  <si>
    <t>Runna: Running Training Plans 17+</t>
  </si>
  <si>
    <t>RunBuddy</t>
  </si>
  <si>
    <t>https://apps.apple.com/us/app/centr-personal-fitness-app/id1382530817</t>
  </si>
  <si>
    <t>Centr: Personal Fitness App 12+</t>
  </si>
  <si>
    <t>CH Digital Pty Ltd</t>
  </si>
  <si>
    <t>https://apps.apple.com/us/app/fiit-workouts-fitness-plans/id1296861162</t>
  </si>
  <si>
    <t>Fiit: Workouts &amp; Fitness Plans 12+</t>
  </si>
  <si>
    <t>Fiit Limited</t>
  </si>
  <si>
    <t>Note</t>
  </si>
  <si>
    <t>Data collected: December 30, 2024</t>
  </si>
  <si>
    <t>Study: Over 90% of analyzed weight control apps track their users</t>
  </si>
  <si>
    <t>Legend:</t>
  </si>
  <si>
    <t>Above average</t>
  </si>
  <si>
    <t>Exceeding both averages</t>
  </si>
  <si>
    <t>“Other data types” used for tracking</t>
  </si>
  <si>
    <t>Data used to track you</t>
  </si>
  <si>
    <t>Data linked to you</t>
  </si>
  <si>
    <t>Data not linked to you</t>
  </si>
  <si>
    <t>Data not collected</t>
  </si>
  <si>
    <t>No details provided</t>
  </si>
  <si>
    <t>Collected unique data types</t>
  </si>
  <si>
    <t>https://apps.apple.com/us/app/myfitnesspal-calorie-counter/id341232718</t>
  </si>
  <si>
    <t>MyFitnessPal: Calorie Counter 17+</t>
  </si>
  <si>
    <t>MyFitnessPal, Inc.</t>
  </si>
  <si>
    <t>['Device ID', 'Advertising Data']</t>
  </si>
  <si>
    <t>[[[], 'The following data, which may be collected and linked to your identity, may be used for the following purposes:'], ['Third-Party Advertising', 'Identifiers'], ['Third-Party Advertising', 'Device ID'], ['Third-Party Advertising', 'Usage Data'], ['Third-Party Advertising', 'Advertising Data'], ['Developer’s Advertising or Marketing', 'Identifiers'], ['Developer’s Advertising or Marketing', 'Device ID'], ['Developer’s Advertising or Marketing', 'Usage Data'], ['Developer’s Advertising or Marketing', 'Advertising Data'], ['Analytics', 'Identifiers'], ['Analytics', 'Device ID'], ['Analytics', 'Usage Data'], ['Analytics', 'Product Interaction'], ['Analytics', 'Diagnostics'], ['Analytics', 'Crash Data'], ['Product Personalization', 'Identifiers'], ['Product Personalization', 'User ID'], ['App Functionality', 'Health &amp; Fitness'], ['App Functionality', 'Health'], ['App Functionality', 'Fitness'], ['App Functionality', 'Contact Info'], ['App Functionality', 'Email Address'], ['App Functionality', 'User Content'], ['App Functionality', 'Customer Support'], ['App Functionality', 'Identifiers'], ['App Functionality', 'User ID']]</t>
  </si>
  <si>
    <t>[[[], 'The following data, which may be collected but is not linked to your identity, may be used for the following purposes:'], ['Analytics', 'Diagnostics'], ['Analytics', 'Other Diagnostic Data']]</t>
  </si>
  <si>
    <t>[]</t>
  </si>
  <si>
    <t>https://apps.apple.com/us/app/lose-it-calorie-counter/id297368629</t>
  </si>
  <si>
    <t>Lose It! – Calorie Counter 4+</t>
  </si>
  <si>
    <t>FitNow</t>
  </si>
  <si>
    <t>['Email Address', 'Device ID', 'Product Interaction\nAdvertising Data']</t>
  </si>
  <si>
    <t>[[[], 'The following data, which may be collected and linked to your identity, may be used for the following purposes:'], ['Third-Party Advertising', 'Contact Info'], ['Third-Party Advertising', 'Email Address'], ['Third-Party Advertising', 'Identifiers'], ['Third-Party Advertising', 'Device ID'], ['Third-Party Advertising', 'Usage Data'], ['Third-Party Advertising', 'Product Interaction'], ['Third-Party Advertising', 'Advertising Data'], ['Developer’s Advertising or Marketing', 'Contact Info'], ['Developer’s Advertising or Marketing', 'Email Address'], ['Developer’s Advertising or Marketing', 'Name'], ['Developer’s Advertising or Marketing', 'Identifiers'], ['Developer’s Advertising or Marketing', 'User ID'], ['Developer’s Advertising or Marketing', 'Device ID'], ['Developer’s Advertising or Marketing', 'Usage Data'], ['Developer’s Advertising or Marketing', 'Product Interaction'], ['Analytics', 'Health &amp; Fitness'], ['Analytics', 'Health'], ['Analytics', 'Fitness'], ['Analytics', 'Contact Info'], ['Analytics', 'Email Address'], ['Analytics', 'Identifiers'], ['Analytics', 'User ID'], ['Analytics', 'Usage Data'], ['Analytics', 'Product Interaction'], ['Product Personalization', 'Health &amp; Fitness'], ['Product Personalization', 'Health'], ['Product Personalization', 'Fitness'], ['Product Personalization', 'Contact Info'], ['Product Personalization', 'Name'], ['Product Personalization', 'Usage Data'], ['Product Personalization', 'Product Interaction'], ['Product Personalization', 'Sensitive Info'], ['Product Personalization', 'Sensitive Info'], ['App Functionality', 'Health &amp; Fitness'], ['App Functionality', 'Health'], ['App Functionality', 'Fitness'], ['App Functionality', 'Contact Info'], ['App Functionality', 'Email Address'], ['App Functionality', 'Name'], ['App Functionality', 'User Content'], ['App Functionality', 'Photos or Videos'], ['App Functionality', 'Customer Support'], ['App Functionality', 'Identifiers'], ['App Functionality', 'User ID'], ['App Functionality', 'Usage Data'], ['App Functionality', 'Product Interaction'], ['App Functionality', 'Diagnostics'], ['App Functionality', 'Crash Data'], ['App Functionality', 'Performance Data'], ['App Functionality', 'Other Diagnostic Data'], ['Other Purposes', 'User Content'], ['Other Purposes', 'Photos or Videos']]</t>
  </si>
  <si>
    <t>https://apps.apple.com/us/app/calorie-counter-mynetdiary/id287529757</t>
  </si>
  <si>
    <t>Calorie Counter - MyNetDiary 12+</t>
  </si>
  <si>
    <t>MyNetDiary Inc.</t>
  </si>
  <si>
    <t>['Purchase History', 'Device ID', 'Advertising Data\nOther Usage Data', 'Other Data Types']</t>
  </si>
  <si>
    <t>[[[], 'The following data, which may be collected but is not linked to your identity, may be used for the following purposes:'], ['Developer’s Advertising or Marketing', 'Purchases'], ['Developer’s Advertising or Marketing', 'Purchase History'], ['Developer’s Advertising or Marketing', 'Identifiers'], ['Developer’s Advertising or Marketing', 'Device ID'], ['Developer’s Advertising or Marketing', 'Usage Data'], ['Developer’s Advertising or Marketing', 'Advertising Data'], ['Developer’s Advertising or Marketing', 'Other Usage Data'], ['Developer’s Advertising or Marketing', 'Other Data'], ['Developer’s Advertising or Marketing', 'Other Data Types'], ['Analytics', 'Usage Data'], ['Analytics', 'Product Interaction'], ['App Functionality', 'Health &amp; Fitness'], ['App Functionality', 'Health'], ['App Functionality', 'Fitness'], ['App Functionality', 'User Content'], ['App Functionality', 'Other User Content'], ['App Functionality', 'Identifiers'], ['App Functionality', 'User ID'], ['App Functionality', 'Diagnostics'], ['App Functionality', 'Crash Data']]</t>
  </si>
  <si>
    <t>https://apps.apple.com/us/app/hitmeal-calorie-food-tracker/id1544461026</t>
  </si>
  <si>
    <t>HitMeal Calorie &amp; Food Tracker 4+</t>
  </si>
  <si>
    <t>AIBY</t>
  </si>
  <si>
    <t>['User ID\nDevice ID', 'Product Interaction\nOther Usage Data', 'Other Data Types']</t>
  </si>
  <si>
    <t>[[[], 'The following data, which may be collected and linked to your identity, may be used for the following purposes:'], ['Third-Party Advertising', 'Health &amp; Fitness'], ['Third-Party Advertising', 'Health'], ['Third-Party Advertising', 'Identifiers'], ['Third-Party Advertising', 'User ID'], ['Third-Party Advertising', 'Device ID'], ['Third-Party Advertising', 'Usage Data'], ['Third-Party Advertising', 'Product Interaction'], ['Third-Party Advertising', 'Advertising Data'], ['Third-Party Advertising', 'Sensitive Info'], ['Third-Party Advertising', 'Sensitive Info'], ['Analytics', 'Health &amp; Fitness'], ['Analytics', 'Health'], ['Analytics', 'User Content'], ['Analytics', 'Customer Support'], ['Analytics', 'Identifiers'], ['Analytics', 'User ID'], ['Analytics', 'Device ID'], ['Analytics', 'Usage Data'], ['Analytics', 'Product Interaction'], ['Analytics', 'Advertising Data'], ['Analytics', 'Other Usage Data'], ['Analytics', 'Sensitive Info'], ['Analytics', 'Sensitive Info'], ['Analytics', 'Other Data'], ['Analytics', 'Other Data Types'], ['App Functionality', 'Health &amp; Fitness'], ['App Functionality', 'Health'], ['App Functionality', 'User Content'], ['App Functionality', 'Customer Support'], ['App Functionality', 'Identifiers'], ['App Functionality', 'User ID'], ['App Functionality', 'Device ID'], ['App Functionality', 'Usage Data'], ['App Functionality', 'Product Interaction'], ['App Functionality', 'Other Usage Data'], ['App Functionality', 'Sensitive Info'], ['App Functionality', 'Sensitive Info'], ['App Functionality', 'Diagnostics'], ['App Functionality', 'Crash Data'], ['App Functionality', 'Performance Data'], ['App Functionality', 'Other Data'], ['App Functionality', 'Other Data Types']]</t>
  </si>
  <si>
    <t>https://apps.apple.com/us/app/yazio-calorie-counter-diet/id946099227</t>
  </si>
  <si>
    <t>YAZIO Calorie Counter &amp; Diet 4+</t>
  </si>
  <si>
    <t>YAZIO</t>
  </si>
  <si>
    <t>['User ID']</t>
  </si>
  <si>
    <t>[[[], 'The following data, which may be collected and linked to your identity, may be used for the following purposes:'], ['Third-Party Advertising', 'Identifiers'], ['Third-Party Advertising', 'User ID'], ['Developer’s Advertising or Marketing', 'Purchases'], ['Developer’s Advertising or Marketing', 'Purchase History'], ['Developer’s Advertising or Marketing', 'Identifiers'], ['Developer’s Advertising or Marketing', 'User ID'], ['Analytics', 'Purchases'], ['Analytics', 'Purchase History'], ['Analytics', 'Identifiers'], ['Analytics', 'User ID'], ['Product Personalization', 'Purchases'], ['Product Personalization', 'Purchase History'], ['App Functionality', 'Health &amp; Fitness'], ['App Functionality', 'Health'], ['App Functionality', 'Fitness'], ['App Functionality', 'Purchases'], ['App Functionality', 'Purchase History'], ['App Functionality', 'Contact Info'], ['App Functionality', 'Email Address'], ['App Functionality', 'Name'], ['App Functionality', 'User Content'], ['App Functionality', 'Other User Content'], ['App Functionality', 'Identifiers'], ['App Functionality', 'User ID']]</t>
  </si>
  <si>
    <t>[[[], 'The following data, which may be collected but is not linked to your identity, may be used for the following purposes:'], ['Analytics', 'Usage Data'], ['Analytics', 'Product Interaction'], ['Analytics', 'Diagnostics'], ['Analytics', 'Crash Data'], ['Product Personalization', 'Usage Data'], ['Product Personalization', 'Product Interaction'], ['App Functionality', 'Diagnostics'], ['App Functionality', 'Crash Data']]</t>
  </si>
  <si>
    <t>https://apps.apple.com/us/app/eato-ai-calorie-counter/id6478076952</t>
  </si>
  <si>
    <t>Eato®: AI Calorie Counter 4+</t>
  </si>
  <si>
    <t>Enerjoy Pte. Ltd.</t>
  </si>
  <si>
    <t>['Device ID']</t>
  </si>
  <si>
    <t>[[[], 'The following data, which may be collected and linked to your identity, may be used for the following purposes:'], ['Analytics', 'Identifiers'], ['Analytics', 'User ID'], ['Analytics', 'Device ID']]</t>
  </si>
  <si>
    <t>[[[], 'The following data, which may be collected but is not linked to your identity, may be used for the following purposes:'], ['Analytics', 'Usage Data'], ['Analytics', 'Product Interaction'], ['Analytics', 'Other Usage Data'], ['Analytics', 'Diagnostics'], ['Analytics', 'Crash Data'], ['Analytics', 'Performance Data'], ['App Functionality', 'Health &amp; Fitness'], ['App Functionality', 'Health'], ['App Functionality', 'Location'], ['App Functionality', 'Coarse Location']]</t>
  </si>
  <si>
    <t>https://apps.apple.com/us/app/cronometer-calorie-counter/id1145935738</t>
  </si>
  <si>
    <t>Cronometer: Calorie Counter 12+</t>
  </si>
  <si>
    <t>Cronometer Software Inc</t>
  </si>
  <si>
    <t>['Email Address', 'Device ID', 'Advertising Data']</t>
  </si>
  <si>
    <t>[[[], 'The following data, which may be collected and linked to your identity, may be used for the following purposes:'], ['Developer’s Advertising or Marketing', 'Health &amp; Fitness'], ['Developer’s Advertising or Marketing', 'Health'], ['Developer’s Advertising or Marketing', 'Fitness'], ['Developer’s Advertising or Marketing', 'Contact Info'], ['Developer’s Advertising or Marketing', 'Email Address'], ['Developer’s Advertising or Marketing', 'Identifiers'], ['Developer’s Advertising or Marketing', 'User ID'], ['Developer’s Advertising or Marketing', 'Sensitive Info'], ['Developer’s Advertising or Marketing', 'Sensitive Info'], ['Analytics', 'Identifiers'], ['Analytics', 'User ID'], ['Product Personalization', 'Health &amp; Fitness'], ['Product Personalization', 'Health'], ['Product Personalization', 'Fitness'], ['Product Personalization', 'User Content'], ['Product Personalization', 'Other User Content'], ['Product Personalization', 'Identifiers'], ['Product Personalization', 'User ID'], ['Product Personalization', 'Usage Data'], ['Product Personalization', 'Other Usage Data'], ['Product Personalization', 'Sensitive Info'], ['Product Personalization', 'Sensitive Info'], ['App Functionality', 'Health &amp; Fitness'], ['App Functionality', 'Health'], ['App Functionality', 'Fitness'], ['App Functionality', 'Contact Info'], ['App Functionality', 'Email Address'], ['App Functionality', 'Phone Number'], ['App Functionality', 'User Content'], ['App Functionality', 'Photos or Videos'], ['App Functionality', 'Customer Support'], ['App Functionality', 'Other User Content'], ['App Functionality', 'Identifiers'], ['App Functionality', 'User ID'], ['App Functionality', 'Usage Data'], ['App Functionality', 'Other Usage Data'], ['App Functionality', 'Sensitive Info'], ['App Functionality', 'Sensitive Info']]</t>
  </si>
  <si>
    <t>[[[], 'The following data, which may be collected but is not linked to your identity, may be used for the following purposes:'], ['Third-Party Advertising', 'Identifiers'], ['Third-Party Advertising', 'Device ID'], ['Third-Party Advertising', 'Usage Data'], ['Third-Party Advertising', 'Advertising Data'], ['Analytics', 'Search History'], ['Analytics', 'Search History'], ['Analytics', 'Usage Data'], ['Analytics', 'Product Interaction'], ['Product Personalization', 'Search History'], ['Product Personalization', 'Search History'], ['App Functionality', 'Diagnostics'], ['App Functionality', 'Crash Data'], ['App Functionality', 'Performance Data'], ['App Functionality', 'Other Diagnostic Data']]</t>
  </si>
  <si>
    <t>https://apps.apple.com/us/app/fastic-ai-food-calorie-scanner/id1459260306</t>
  </si>
  <si>
    <t>Fastic AI Food Calorie Scanner 12+</t>
  </si>
  <si>
    <t>HealthVida GmbH &amp; Co. KG.</t>
  </si>
  <si>
    <t>['Purchase History', 'Coarse Location', 'Email Address', 'User ID\nDevice ID', 'Other Usage Data']</t>
  </si>
  <si>
    <t>[[[], 'The following data, which may be collected and linked to your identity, may be used for the following purposes:'], ['Developer’s Advertising or Marketing', 'Purchases'], ['Developer’s Advertising or Marketing', 'Purchase History'], ['Developer’s Advertising or Marketing', 'Location'], ['Developer’s Advertising or Marketing', 'Coarse Location'], ['Developer’s Advertising or Marketing', 'Contact Info'], ['Developer’s Advertising or Marketing', 'Email Address'], ['Developer’s Advertising or Marketing', 'Name'], ['Developer’s Advertising or Marketing', 'Identifiers'], ['Developer’s Advertising or Marketing', 'User ID'], ['Developer’s Advertising or Marketing', 'Device ID'], ['Developer’s Advertising or Marketing', 'Usage Data'], ['Developer’s Advertising or Marketing', 'Product Interaction'], ['Developer’s Advertising or Marketing', 'Other Usage Data'], ['Analytics', 'Health &amp; Fitness'], ['Analytics', 'Health'], ['Analytics', 'Fitness'], ['Analytics', 'Purchases'], ['Analytics', 'Purchase History'], ['Analytics', 'Location'], ['Analytics', 'Coarse Location'], ['Analytics', 'User Content'], ['Analytics', 'Emails or Text Messages'], ['Analytics', 'Customer Support'], ['Analytics', 'Identifiers'], ['Analytics', 'User ID'], ['Analytics', 'Device ID'], ['Analytics', 'Usage Data'], ['Analytics', 'Product Interaction'], ['Analytics', 'Other Usage Data'], ['Analytics', 'Diagnostics'], ['Analytics', 'Crash Data'], ['Analytics', 'Performance Data'], ['Analytics', 'Other Diagnostic Data'], ['Product Personalization', 'Purchases'], ['Product Personalization', 'Purchase History'], ['Product Personalization', 'Location'], ['Product Personalization', 'Coarse Location'], ['Product Personalization', 'Contact Info'], ['Product Personalization', 'Name'], ['Product Personalization', 'User Content'], ['Product Personalization', 'Emails or Text Messages'], ['Product Personalization', 'Photos or Videos'], ['Product Personalization', 'Identifiers'], ['Product Personalization', 'User ID'], ['Product Personalization', 'Device ID'], ['Product Personalization', 'Usage Data'], ['Product Personalization', 'Product Interaction'], ['Product Personalization', 'Other Usage Data'], ['Product Personalization', 'Diagnostics'], ['Product Personalization', 'Crash Data'], ['App Functionality', 'Health &amp; Fitness'], ['App Functionality', 'Health'], ['App Functionality', 'Fitness'], ['App Functionality', 'Purchases'], ['App Functionality', 'Purchase History'], ['App Functionality', 'Location'], ['App Functionality', 'Coarse Location'], ['App Functionality', 'Contact Info'], ['App Functionality', 'Email Address'], ['App Functionality', 'Name'], ['App Functionality', 'User Content'], ['App Functionality', 'Emails or Text Messages'], ['App Functionality', 'Photos or Videos'], ['App Functionality', 'Customer Support'], ['App Functionality', 'Identifiers'], ['App Functionality', 'User ID'], ['App Functionality', 'Device ID'], ['App Functionality', 'Usage Data'], ['App Functionality', 'Product Interaction'], ['App Functionality', 'Other Usage Data'], ['App Functionality', 'Diagnostics'], ['App Functionality', 'Crash Data'], ['App Functionality', 'Performance Data'], ['App Functionality', 'Other Diagnostic Data']]</t>
  </si>
  <si>
    <t>https://apps.apple.com/us/app/foodvisor-calorie-counter/id1064020872</t>
  </si>
  <si>
    <t>Foodvisor - Calorie Counter 4+</t>
  </si>
  <si>
    <t>Foodvisor</t>
  </si>
  <si>
    <t>[[[], 'The following data, which may be collected and linked to your identity, may be used for the following purposes:'], ['Developer’s Advertising or Marketing', 'Contact Info'], ['Developer’s Advertising or Marketing', 'Email Address'], ['Developer’s Advertising or Marketing', 'Name'], ['Developer’s Advertising or Marketing', 'Identifiers'], ['Developer’s Advertising or Marketing', 'User ID'], ['Developer’s Advertising or Marketing', 'Device ID'], ['Analytics', 'Health &amp; Fitness'], ['Analytics', 'Health'], ['Analytics', 'Fitness'], ['Analytics', 'Purchases'], ['Analytics', 'Purchase History'], ['Analytics', 'Contact Info'], ['Analytics', 'Name'], ['Analytics', 'User Content'], ['Analytics', 'Photos or Videos'], ['Analytics', 'Customer Support'], ['Analytics', 'Identifiers'], ['Analytics', 'User ID'], ['Analytics', 'Device ID'], ['Analytics', 'Usage Data'], ['Analytics', 'Product Interaction'], ['App Functionality', 'Health &amp; Fitness'], ['App Functionality', 'Health'], ['App Functionality', 'Fitness'], ['App Functionality', 'Purchases'], ['App Functionality', 'Purchase History'], ['App Functionality', 'User Content'], ['App Functionality', 'Photos or Videos'], ['App Functionality', 'Customer Support'], ['App Functionality', 'Identifiers'], ['App Functionality', 'User ID'], ['App Functionality', 'Device ID'], ['App Functionality', 'Usage Data'], ['App Functionality', 'Product Interaction']]</t>
  </si>
  <si>
    <t>[[[], 'The following data, which may be collected but is not linked to your identity, may be used for the following purposes:'], ['Analytics', 'Diagnostics'], ['Analytics', 'Crash Data'], ['Analytics', 'Performance Data'], ['Analytics', 'Other Diagnostic Data'], ['App Functionality', 'Diagnostics'], ['App Functionality', 'Crash Data'], ['App Functionality', 'Performance Data'], ['App Functionality', 'Other Diagnostic Data']]</t>
  </si>
  <si>
    <t>https://apps.apple.com/us/app/noom-weight-loss-food-tracker/id634598719</t>
  </si>
  <si>
    <t>Noom Weight Loss, Food Tracker 12+</t>
  </si>
  <si>
    <t>Noom, Inc.</t>
  </si>
  <si>
    <t>['Purchase History', 'Payment Info', 'Coarse Location', 'Photos or Videos', 'User ID\nDevice ID', 'Sensitive Info']</t>
  </si>
  <si>
    <t>[[[], 'The following data, which may be collected and linked to your identity, may be used for the following purposes:'], ['Analytics', 'Purchases'], ['Analytics', 'Purchase History'], ['Analytics', 'Location'], ['Analytics', 'Coarse Location'], ['Analytics', 'Contact Info'], ['Analytics', 'Physical Address'], ['Analytics', 'User Content'], ['Analytics', 'Emails or Text Messages'], ['Analytics', 'Identifiers'], ['Analytics', 'User ID'], ['Analytics', 'Usage Data'], ['Analytics', 'Product Interaction'], ['Analytics', 'Sensitive Info'], ['Analytics', 'Sensitive Info'], ['Analytics', 'Diagnostics'], ['Analytics', 'Other Diagnostic Data'], ['Product Personalization', 'Purchases'], ['Product Personalization', 'Purchase History'], ['Product Personalization', 'Contact Info'], ['Product Personalization', 'Physical Address'], ['Product Personalization', 'Name'], ['Product Personalization', 'User Content'], ['Product Personalization', 'Emails or Text Messages'], ['Product Personalization', 'Photos or Videos'], ['Product Personalization', 'Identifiers'], ['Product Personalization', 'User ID'], ['Product Personalization', 'Usage Data'], ['Product Personalization', 'Product Interaction'], ['Product Personalization', 'Sensitive Info'], ['Product Personalization', 'Sensitive Info'], ['App Functionality', 'Health &amp; Fitness'], ['App Functionality', 'Health'], ['App Functionality', 'Fitness'], ['App Functionality', 'Purchases'], ['App Functionality', 'Purchase History'], ['App Functionality', 'Financial Info'], ['App Functionality', 'Payment Info'], ['App Functionality', 'Location'], ['App Functionality', 'Coarse Location'], ['App Functionality', 'Contact Info'], ['App Functionality', 'Physical Address'], ['App Functionality', 'Email Address'], ['App Functionality', 'Name'], ['App Functionality', 'User Content'], ['App Functionality', 'Photos or Videos'], ['App Functionality', 'Customer Support'], ['App Functionality', 'Other User Content'], ['App Functionality', 'Identifiers'], ['App Functionality', 'User ID'], ['App Functionality', 'Device ID'], ['App Functionality', 'Sensitive Info'], ['App Functionality', 'Sensitive Info'], ['App Functionality', 'Diagnostics'], ['App Functionality', 'Performance Data'], ['App Functionality', 'Other Diagnostic Data'], ['App Functionality', 'Surroundings'], ['App Functionality', 'Environment Scanning'], ['App Functionality', 'Other Data'], ['App Functionality', 'Other Data Types']]</t>
  </si>
  <si>
    <t>[[[], 'The following data, which may be collected but is not linked to your identity, may be used for the following purposes:'], ['App Functionality', 'Contact Info'], ['App Functionality', 'Phone Number'], ['App Functionality', 'Diagnostics'], ['App Functionality', 'Crash Data']]</t>
  </si>
  <si>
    <t>https://apps.apple.com/us/app/lifesum-food-calorie-tracker/id286906691</t>
  </si>
  <si>
    <t>Lifesum Food &amp; Calorie Tracker 12+</t>
  </si>
  <si>
    <t>Lifesum AB</t>
  </si>
  <si>
    <t>[[[], 'The following data, which may be collected and linked to your identity, may be used for the following purposes:'], ['Developer’s Advertising or Marketing', 'Contact Info'], ['Developer’s Advertising or Marketing', 'Email Address'], ['Analytics', 'Identifiers'], ['Analytics', 'User ID'], ['App Functionality', 'Health &amp; Fitness'], ['App Functionality', 'Health'], ['App Functionality', 'Contact Info'], ['App Functionality', 'Email Address'], ['App Functionality', 'Identifiers'], ['App Functionality', 'User ID']]</t>
  </si>
  <si>
    <t>[[[], 'The following data, which may be collected but is not linked to your identity, may be used for the following purposes:'], ['Developer’s Advertising or Marketing', 'Identifiers'], ['Developer’s Advertising or Marketing', 'Device ID'], ['Analytics', 'Usage Data'], ['Analytics', 'Product Interaction'], ['Analytics', 'Diagnostics'], ['Analytics', 'Crash Data'], ['Product Personalization', 'Contact Info'], ['Product Personalization', 'Name'], ['App Functionality', 'Diagnostics'], ['App Functionality', 'Crash Data']]</t>
  </si>
  <si>
    <t>https://apps.apple.com/us/app/weightwatchers-program/id331308914</t>
  </si>
  <si>
    <t>WeightWatchers Program 17+</t>
  </si>
  <si>
    <t>WW International, Inc.</t>
  </si>
  <si>
    <t>['Email Address', 'User ID\nDevice ID', 'Product Interaction']</t>
  </si>
  <si>
    <t>[[[], 'The following data, which may be collected and linked to your identity, may be used for the following purposes:'], ['Third-Party Advertising', 'Contact Info'], ['Third-Party Advertising', 'Email Address'], ['Third-Party Advertising', 'Identifiers'], ['Third-Party Advertising', 'User ID'], ['Third-Party Advertising', 'Device ID'], ['Developer’s Advertising or Marketing', 'Contact Info'], ['Developer’s Advertising or Marketing', 'Physical Address'], ['Developer’s Advertising or Marketing', 'Email Address'], ['Developer’s Advertising or Marketing', 'Phone Number'], ['Developer’s Advertising or Marketing', 'Identifiers'], ['Developer’s Advertising or Marketing', 'User ID'], ['Developer’s Advertising or Marketing', 'Usage Data'], ['Developer’s Advertising or Marketing', 'Product Interaction'], ['Analytics', 'Health &amp; Fitness'], ['Analytics', 'Health'], ['Analytics', 'Fitness'], ['Analytics', 'Contact Info'], ['Analytics', 'Physical Address'], ['Analytics', 'User Content'], ['Analytics', 'Customer Support'], ['Analytics', 'Identifiers'], ['Analytics', 'User ID'], ['Analytics', 'Device ID'], ['Analytics', 'Usage Data'], ['Analytics', 'Product Interaction'], ['Analytics', 'Diagnostics'], ['Analytics', 'Crash Data'], ['Analytics', 'Performance Data'], ['Product Personalization', 'Health &amp; Fitness'], ['Product Personalization', 'Health'], ['Product Personalization', 'Fitness'], ['Product Personalization', 'Contact Info'], ['Product Personalization', 'Physical Address'], ['Product Personalization', 'User Content'], ['Product Personalization', 'Photos or Videos'], ['Product Personalization', 'Identifiers'], ['Product Personalization', 'User ID'], ['Product Personalization', 'Usage Data'], ['Product Personalization', 'Product Interaction'], ['App Functionality', 'Health &amp; Fitness'], ['App Functionality', 'Health'], ['App Functionality', 'Fitness'], ['App Functionality', 'Contact Info'], ['App Functionality', 'Physical Address'], ['App Functionality', 'Email Address'], ['App Functionality', 'Name'], ['App Functionality', 'Phone Number'], ['App Functionality', 'User Content'], ['App Functionality', 'Photos or Videos'], ['App Functionality', 'Customer Support'], ['App Functionality', 'Identifiers'], ['App Functionality', 'User ID'], ['App Functionality', 'Device ID'], ['App Functionality', 'Usage Data'], ['App Functionality', 'Product Interaction'], ['App Functionality', 'Diagnostics'], ['App Functionality', 'Crash Data'], ['App Functionality', 'Performance Data'], ['Other Purposes', 'Identifiers'], ['Other Purposes', 'User ID']]</t>
  </si>
  <si>
    <t>https://apps.apple.com/us/app/simple-weight-loss-coach/id1467720176</t>
  </si>
  <si>
    <t>Simple: Weight Loss Coach 17+</t>
  </si>
  <si>
    <t>AM APPS</t>
  </si>
  <si>
    <t>['Purchase History', 'Coarse Location', 'Email Address', 'User ID', 'Product Interaction']</t>
  </si>
  <si>
    <t>[[[], 'The following data, which may be collected and linked to your identity, may be used for the following purposes:'], ['Developer’s Advertising or Marketing', 'Contact Info'], ['Developer’s Advertising or Marketing', 'Email Address'], ['Developer’s Advertising or Marketing', 'Name'], ['Developer’s Advertising or Marketing', 'Contacts'], ['Developer’s Advertising or Marketing', 'Contacts'], ['Developer’s Advertising or Marketing', 'Identifiers'], ['Developer’s Advertising or Marketing', 'User ID'], ['Developer’s Advertising or Marketing', 'Usage Data'], ['Developer’s Advertising or Marketing', 'Product Interaction'], ['Analytics', 'Purchases'], ['Analytics', 'Purchase History'], ['Analytics', 'Location'], ['Analytics', 'Coarse Location'], ['Analytics', 'Contact Info'], ['Analytics', 'Email Address'], ['Analytics', 'User Content'], ['Analytics', 'Emails or Text Messages'], ['Analytics', 'Identifiers'], ['Analytics', 'User ID'], ['Analytics', 'Usage Data'], ['Analytics', 'Product Interaction'], ['Analytics', 'Diagnostics'], ['Analytics', 'Performance Data'], ['Analytics', 'Other Diagnostic Data'], ['Product Personalization', 'Location'], ['Product Personalization', 'Coarse Location'], ['Product Personalization', 'Contact Info'], ['Product Personalization', 'Name'], ['App Functionality', 'Health &amp; Fitness'], ['App Functionality', 'Health'], ['App Functionality', 'Fitness'], ['App Functionality', 'Location'], ['App Functionality', 'Coarse Location'], ['App Functionality', 'Contact Info'], ['App Functionality', 'Email Address'], ['App Functionality', 'Name'], ['App Functionality', 'Contacts'], ['App Functionality', 'Contacts'], ['App Functionality', 'User Content'], ['App Functionality', 'Emails or Text Messages'], ['App Functionality', 'Photos or Videos'], ['App Functionality', 'Identifiers'], ['App Functionality', 'User ID'], ['App Functionality', 'Device ID'], ['App Functionality', 'Sensitive Info'], ['App Functionality', 'Sensitive Info'], ['App Functionality', 'Diagnostics'], ['App Functionality', 'Crash Data'], ['App Functionality', 'Performance Data'], ['App Functionality', 'Other Diagnostic Data'], ['Other Purposes', 'User Content'], ['Other Purposes', 'Emails or Text Messages'], ['Other Purposes', 'Customer Support'], ['Other Purposes', 'Identifiers'], ['Other Purposes', 'User ID']]</t>
  </si>
  <si>
    <t>https://apps.apple.com/us/app/calorie-counter/id444924121</t>
  </si>
  <si>
    <t>Calorie Counter + 17+</t>
  </si>
  <si>
    <t>NutraTech Ltd</t>
  </si>
  <si>
    <t>[[[], 'The following data, which may be collected and linked to your identity, may be used for the following purposes:'], ['Developer’s Advertising or Marketing', 'Health &amp; Fitness'], ['Developer’s Advertising or Marketing', 'Fitness'], ['Developer’s Advertising or Marketing', 'Purchases'], ['Developer’s Advertising or Marketing', 'Purchase History'], ['Developer’s Advertising or Marketing', 'Location'], ['Developer’s Advertising or Marketing', 'Coarse Location'], ['Developer’s Advertising or Marketing', 'Contact Info'], ['Developer’s Advertising or Marketing', 'Email Address'], ['Developer’s Advertising or Marketing', 'Name'], ['Developer’s Advertising or Marketing', 'Identifiers'], ['Developer’s Advertising or Marketing', 'User ID'], ['Developer’s Advertising or Marketing', 'Device ID'], ['Developer’s Advertising or Marketing', 'Usage Data'], ['Developer’s Advertising or Marketing', 'Product Interaction'], ['Developer’s Advertising or Marketing', 'Other Usage Data'], ['Analytics', 'Health &amp; Fitness'], ['Analytics', 'Health'], ['Analytics', 'Fitness'], ['Analytics', 'Purchases'], ['Analytics', 'Purchase History'], ['Analytics', 'Location'], ['Analytics', 'Coarse Location'], ['Analytics', 'Identifiers'], ['Analytics', 'User ID'], ['Analytics', 'Device ID'], ['Analytics', 'Usage Data'], ['Analytics', 'Product Interaction'], ['Analytics', 'Other Usage Data'], ['Analytics', 'Diagnostics'], ['Analytics', 'Crash Data'], ['Product Personalization', 'Purchases'], ['Product Personalization', 'Purchase History'], ['Product Personalization', 'Location'], ['Product Personalization', 'Coarse Location'], ['Product Personalization', 'Usage Data'], ['Product Personalization', 'Product Interaction'], ['App Functionality', 'Health &amp; Fitness'], ['App Functionality', 'Health'], ['App Functionality', 'Fitness'], ['App Functionality', 'Purchases'], ['App Functionality', 'Purchase History'], ['App Functionality', 'Location'], ['App Functionality', 'Coarse Location'], ['App Functionality', 'Contact Info'], ['App Functionality', 'Email Address'], ['App Functionality', 'Identifiers'], ['App Functionality', 'User ID'], ['App Functionality', 'Device ID'], ['App Functionality', 'Usage Data'], ['App Functionality', 'Product Interaction'], ['App Functionality', 'Other Usage Data'], ['App Functionality', 'Sensitive Info'], ['App Functionality', 'Sensitive Info'], ['App Functionality', 'Diagnostics'], ['App Functionality', 'Crash Data'], ['Other Purposes', 'User Content'], ['Other Purposes', 'Photos or Videos'], ['Other Purposes', 'Other User Content']]</t>
  </si>
  <si>
    <t>https://apps.apple.com/us/app/bodyfast-intermittent-fasting/id1189568780</t>
  </si>
  <si>
    <t>BodyFast: Intermittent Fasting 17+</t>
  </si>
  <si>
    <t>BodyFast GmbH</t>
  </si>
  <si>
    <t>['Device ID', 'Product Interaction']</t>
  </si>
  <si>
    <t>[[[], 'The following data, which may be collected and linked to your identity, may be used for the following purposes:'], ['Developer’s Advertising or Marketing', 'Purchases'], ['Developer’s Advertising or Marketing', 'Purchase History'], ['Developer’s Advertising or Marketing', 'Contact Info'], ['Developer’s Advertising or Marketing', 'Email Address'], ['Developer’s Advertising or Marketing', 'Identifiers'], ['Developer’s Advertising or Marketing', 'Device ID'], ['Developer’s Advertising or Marketing', 'Usage Data'], ['Developer’s Advertising or Marketing', 'Product Interaction'], ['Analytics', 'Purchases'], ['Analytics', 'Purchase History'], ['Analytics', 'Usage Data'], ['Analytics', 'Product Interaction'], ['Analytics', 'Sensitive Info'], ['Analytics', 'Sensitive Info'], ['Analytics', 'Diagnostics'], ['Analytics', 'Crash Data'], ['Product Personalization', 'Purchases'], ['Product Personalization', 'Purchase History'], ['Product Personalization', 'Contact Info'], ['Product Personalization', 'Email Address'], ['Product Personalization', 'Identifiers'], ['Product Personalization', 'User ID'], ['Product Personalization', 'Usage Data'], ['Product Personalization', 'Product Interaction'], ['Product Personalization', 'Sensitive Info'], ['Product Personalization', 'Sensitive Info'], ['App Functionality', 'Purchases'], ['App Functionality', 'Purchase History'], ['App Functionality', 'Contact Info'], ['App Functionality', 'Email Address'], ['App Functionality', 'User Content'], ['App Functionality', 'Other User Content'], ['App Functionality', 'Identifiers'], ['App Functionality', 'User ID'], ['App Functionality', 'Device ID'], ['App Functionality', 'Usage Data'], ['App Functionality', 'Product Interaction'], ['App Functionality', 'Sensitive Info'], ['App Functionality', 'Sensitive Info']]</t>
  </si>
  <si>
    <t>[[[], 'The following data, which may be collected but is not linked to your identity, may be used for the following purposes:'], ['Analytics', 'Diagnostics'], ['Analytics', 'Performance Data']]</t>
  </si>
  <si>
    <t>Average:</t>
  </si>
  <si>
    <t>% of apps</t>
  </si>
  <si>
    <t>% of apps above average</t>
  </si>
  <si>
    <t>Data types used to track</t>
  </si>
  <si>
    <t>Number of analyzed apps</t>
  </si>
  <si>
    <t>Rank</t>
  </si>
  <si>
    <t>Data used to track</t>
  </si>
  <si>
    <t>Study: AI companion apps “love” your personal data</t>
  </si>
  <si>
    <t>https://apps.apple.com/us/app/kindroid/id6451038161</t>
  </si>
  <si>
    <t>Kindroid 17+</t>
  </si>
  <si>
    <t>Beautifully Incorporated</t>
  </si>
  <si>
    <t>['User ID', 'Product Interaction']</t>
  </si>
  <si>
    <t>[[[], 'The following data, which may be collected and linked to your identity, may be used for the following purposes:'], ['Analytics', 'Identifiers'], ['Analytics', 'User ID'], ['Product Personalization', 'Contact Info'], ['Product Personalization', 'Name'], ['App Functionality', 'Contact Info'], ['App Functionality', 'Name'], ['App Functionality', 'Other User Contact Info'], ['App Functionality', 'Identifiers'], ['App Functionality', 'User ID']]</t>
  </si>
  <si>
    <t>[[[], 'The following data, which may be collected but is not linked to your identity, may be used for the following purposes:'], ['Analytics', 'Usage Data'], ['Analytics', 'Product Interaction']]</t>
  </si>
  <si>
    <t>https://apps.apple.com/us/app/nomi-ai-companion-with-a-soul/id6450270929</t>
  </si>
  <si>
    <t>Nomi: AI Companion with a Soul 17+</t>
  </si>
  <si>
    <t>Nomi.ai</t>
  </si>
  <si>
    <t>[[[], 'The following data, which may be collected and linked to your identity, may be used for the following purposes:'], ['Developer’s Advertising or Marketing', 'Contact Info'], ['Developer’s Advertising or Marketing', 'Email Address'], ['Analytics', 'Purchases'], ['Analytics', 'Purchase History'], ['Analytics', 'User Content'], ['Analytics', 'Other User Content'], ['Analytics', 'Identifiers'], ['Analytics', 'User ID'], ['Analytics', 'Device ID'], ['Analytics', 'Usage Data'], ['Analytics', 'Product Interaction'], ['Analytics', 'Diagnostics'], ['Analytics', 'Crash Data'], ['Analytics', 'Performance Data'], ['Product Personalization', 'User Content'], ['Product Personalization', 'Other User Content'], ['Product Personalization', 'Identifiers'], ['Product Personalization', 'User ID'], ['Product Personalization', 'Usage Data'], ['Product Personalization', 'Product Interaction'], ['App Functionality', 'Purchases'], ['App Functionality', 'Purchase History'], ['App Functionality', 'Contact Info'], ['App Functionality', 'Email Address'], ['App Functionality', 'Name'], ['App Functionality', 'User Content'], ['App Functionality', 'Other User Content'], ['App Functionality', 'Identifiers'], ['App Functionality', 'User ID'], ['App Functionality', 'Device ID'], ['App Functionality', 'Usage Data'], ['App Functionality', 'Product Interaction']]</t>
  </si>
  <si>
    <t>https://apps.apple.com/us/app/replika-ai-friend/id1158555867</t>
  </si>
  <si>
    <t>Replika - AI Friend 17+</t>
  </si>
  <si>
    <t>Luka, Inc.</t>
  </si>
  <si>
    <t>['Email Address\nName', 'Device ID']</t>
  </si>
  <si>
    <t>[[[], 'The following data, which may be collected and linked to your identity, may be used for the following purposes:'], ['Analytics', 'Identifiers'], ['Analytics', 'Device ID'], ['Analytics', 'Usage Data'], ['Analytics', 'Product Interaction'], ['Product Personalization', 'Contact Info'], ['Product Personalization', 'Name'], ['App Functionality', 'Contact Info'], ['App Functionality', 'Email Address']]</t>
  </si>
  <si>
    <t>[[[], 'The following data, which may be collected but is not linked to your identity, may be used for the following purposes:'], ['App Functionality', 'Diagnostics'], ['App Functionality', 'Crash Data'], ['App Functionality', 'Performance Data']]</t>
  </si>
  <si>
    <t>https://apps.apple.com/us/app/character-ai-chat-talk-text/id1671705818</t>
  </si>
  <si>
    <t>Character AI: Chat, Talk, Text 17+</t>
  </si>
  <si>
    <t>Character.AI</t>
  </si>
  <si>
    <t>[[[], 'The following data, which may be collected and linked to your identity, may be used for the following purposes:'], ['Third-Party Advertising', 'Identifiers'], ['Third-Party Advertising', 'Device ID'], ['Third-Party Advertising', 'Usage Data'], ['Third-Party Advertising', 'Advertising Data'], ['Developer’s Advertising or Marketing', 'Contact Info'], ['Developer’s Advertising or Marketing', 'Email Address'], ['Developer’s Advertising or Marketing', 'Identifiers'], ['Developer’s Advertising or Marketing', 'User ID'], ['Developer’s Advertising or Marketing', 'Device ID'], ['Developer’s Advertising or Marketing', 'Usage Data'], ['Developer’s Advertising or Marketing', 'Product Interaction'], ['Developer’s Advertising or Marketing', 'Advertising Data'], ['Developer’s Advertising or Marketing', 'Other Usage Data'], ['Analytics', 'Location'], ['Analytics', 'Coarse Location'], ['Analytics', 'User Content'], ['Analytics', 'Gameplay Content'], ['Analytics', 'Customer Support'], ['Analytics', 'Other User Content'], ['Analytics', 'Search History'], ['Analytics', 'Search History'], ['Analytics', 'Identifiers'], ['Analytics', 'User ID'], ['Analytics', 'Device ID'], ['Analytics', 'Usage Data'], ['Analytics', 'Product Interaction'], ['Analytics', 'Advertising Data'], ['Analytics', 'Other Usage Data'], ['Analytics', 'Diagnostics'], ['Analytics', 'Crash Data'], ['Analytics', 'Performance Data'], ['Analytics', 'Other Diagnostic Data'], ['Product Personalization', 'Location'], ['Product Personalization', 'Coarse Location'], ['Product Personalization', 'Contact Info'], ['Product Personalization', 'Name'], ['Product Personalization', 'User Content'], ['Product Personalization', 'Gameplay Content'], ['Product Personalization', 'Customer Support'], ['Product Personalization', 'Other User Content'], ['Product Personalization', 'Search History'], ['Product Personalization', 'Search History'], ['Product Personalization', 'Identifiers'], ['Product Personalization', 'User ID'], ['Product Personalization', 'Usage Data'], ['Product Personalization', 'Product Interaction'], ['Product Personalization', 'Other Usage Data'], ['App Functionality', 'Location'], ['App Functionality', 'Coarse Location'], ['App Functionality', 'User Content'], ['App Functionality', 'Gameplay Content'], ['App Functionality', 'Customer Support'], ['App Functionality', 'Other User Content'], ['App Functionality', 'Identifiers'], ['App Functionality', 'User ID'], ['App Functionality', 'Device ID'], ['App Functionality', 'Usage Data'], ['App Functionality', 'Product Interaction'], ['App Functionality', 'Advertising Data'], ['App Functionality', 'Other Usage Data']]</t>
  </si>
  <si>
    <t>https://apps.apple.com/us/app/eva-ai-chat-clever-chatbot/id1551794721</t>
  </si>
  <si>
    <t>EVA AI Chat &amp; Clever Chatbot 17+</t>
  </si>
  <si>
    <t>Novi Limited</t>
  </si>
  <si>
    <t>['User ID\nDevice ID', 'Product Interaction']</t>
  </si>
  <si>
    <t>[[[], 'The following data, which may be collected and linked to your identity, may be used for the following purposes:'], ['Developer’s Advertising or Marketing', 'Identifiers'], ['Developer’s Advertising or Marketing', 'User ID'], ['Developer’s Advertising or Marketing', 'Device ID'], ['Analytics', 'Purchases'], ['Analytics', 'Purchase History'], ['Analytics', 'Location'], ['Analytics', 'Coarse Location'], ['Analytics', 'User Content'], ['Analytics', 'Other User Content'], ['Analytics', 'Identifiers'], ['Analytics', 'User ID'], ['Analytics', 'Device ID'], ['Analytics', 'Usage Data'], ['Analytics', 'Product Interaction'], ['Analytics', 'Diagnostics'], ['Analytics', 'Crash Data'], ['Analytics', 'Performance Data'], ['Product Personalization', 'Location'], ['Product Personalization', 'Coarse Location'], ['Product Personalization', 'Identifiers'], ['Product Personalization', 'Device ID'], ['App Functionality', 'Purchases'], ['App Functionality', 'Purchase History'], ['App Functionality', 'Location'], ['App Functionality', 'Coarse Location'], ['App Functionality', 'Contact Info'], ['App Functionality', 'Email Address'], ['App Functionality', 'Name'], ['App Functionality', 'User Content'], ['App Functionality', 'Photos or Videos'], ['App Functionality', 'Other User Content'], ['App Functionality', 'Identifiers'], ['App Functionality', 'User ID'], ['App Functionality', 'Device ID'], ['App Functionality', 'Usage Data'], ['App Functionality', 'Product Interaction']]</t>
  </si>
  <si>
    <t>Study: The UK stands out as the country with the most social media breaches</t>
  </si>
  <si>
    <t>Social media breaches details</t>
  </si>
  <si>
    <t>Country</t>
  </si>
  <si>
    <t>DQL electronic security ranking</t>
  </si>
  <si>
    <t>Facebook</t>
  </si>
  <si>
    <t>Follower count</t>
  </si>
  <si>
    <t>Github</t>
  </si>
  <si>
    <t>Instagram</t>
  </si>
  <si>
    <t>Linkedin</t>
  </si>
  <si>
    <t>Skype</t>
  </si>
  <si>
    <t>Social media</t>
  </si>
  <si>
    <t>Telegram</t>
  </si>
  <si>
    <t>Twitter</t>
  </si>
  <si>
    <t>Yahoo</t>
  </si>
  <si>
    <t>Youtube</t>
  </si>
  <si>
    <t>Total social media breaches</t>
  </si>
  <si>
    <t>Population, thousands</t>
  </si>
  <si>
    <t>Breaches per 1000 people</t>
  </si>
  <si>
    <t>Belgium</t>
  </si>
  <si>
    <t>Estonia</t>
  </si>
  <si>
    <t>Lithuania</t>
  </si>
  <si>
    <t>Germany</t>
  </si>
  <si>
    <t>Czechia</t>
  </si>
  <si>
    <t>Romania</t>
  </si>
  <si>
    <t>Portugal</t>
  </si>
  <si>
    <t>Greece</t>
  </si>
  <si>
    <t>Spain</t>
  </si>
  <si>
    <t>South Korea</t>
  </si>
  <si>
    <t>Finland</t>
  </si>
  <si>
    <t>Austria</t>
  </si>
  <si>
    <t>France</t>
  </si>
  <si>
    <t>Denmark</t>
  </si>
  <si>
    <t>Sweden</t>
  </si>
  <si>
    <t>Netherlands</t>
  </si>
  <si>
    <t>Croatia</t>
  </si>
  <si>
    <t>Slovakia</t>
  </si>
  <si>
    <t>Italy</t>
  </si>
  <si>
    <t>Ireland</t>
  </si>
  <si>
    <t>Latvia</t>
  </si>
  <si>
    <t>Bulgaria</t>
  </si>
  <si>
    <t>UK</t>
  </si>
  <si>
    <t>Norway</t>
  </si>
  <si>
    <t>Slovenia</t>
  </si>
  <si>
    <t>Study: 30% of popular AI chatbots share data with third parties</t>
  </si>
  <si>
    <t>URL</t>
  </si>
  <si>
    <t>Description</t>
  </si>
  <si>
    <t>Track</t>
  </si>
  <si>
    <t>Linked</t>
  </si>
  <si>
    <t>Not linked</t>
  </si>
  <si>
    <t>Unique data points in "Used to Track"</t>
  </si>
  <si>
    <t>Unique data points in "Linked to you"</t>
  </si>
  <si>
    <t>Unique data points in "Not linked to you"</t>
  </si>
  <si>
    <t>Includes "third-party advertisers"</t>
  </si>
  <si>
    <t>Unique data points across all categories</t>
  </si>
  <si>
    <t>https://apps.apple.com/us/app/chatgpt/id6448311069</t>
  </si>
  <si>
    <t>ChatGPT</t>
  </si>
  <si>
    <t>OpenAI</t>
  </si>
  <si>
    <t>[[[], 'The following data, which may be collected and linked to your identity, may be used for the following purposes:'], ['Analytics', 'Contact Info'], ['Analytics', 'Email Address'], ['Analytics', 'User Content'], ['Analytics', 'Other User Content'], ['Analytics', 'Identifiers'], ['Analytics', 'User ID'], ['Analytics', 'Usage Data'], ['Analytics', 'Product Interaction'], ['App Functionality', 'Contact Info'], ['App Functionality', 'Email Address'], ['App Functionality', 'Name'], ['App Functionality', 'Phone Number'], ['App Functionality', 'User Content'], ['App Functionality', 'Other User Content'], ['App Functionality', 'Identifiers'], ['App Functionality', 'User ID'], ['App Functionality', 'Device ID'], ['App Functionality', 'Usage Data'], ['App Functionality', 'Product Interaction'], ['App Functionality', 'Diagnostics'], ['App Functionality', 'Crash Data'], ['App Functionality', 'Performance Data'], ['App Functionality', 'Other Diagnostic Data']]</t>
  </si>
  <si>
    <t>No</t>
  </si>
  <si>
    <t>https://apps.apple.com/us/app/deepseek-ai-assistant/id6737597349</t>
  </si>
  <si>
    <t>DeepSeek</t>
  </si>
  <si>
    <t>杭州深度求索人工智能基础技术研究有限公司</t>
  </si>
  <si>
    <t>[[[], 'The following data, which may be collected but is not linked to your identity, may be used for the following purposes:'], ['Analytics', 'Identifiers'], ['Analytics', 'User ID'], ['Analytics', 'Device ID'], ['Analytics', 'Usage Data'], ['Analytics', 'Product Interaction'], ['Analytics', 'Diagnostics'], ['Analytics', 'Crash Data'], ['Analytics', 'Performance Data'], ['Analytics', 'Other Diagnostic Data'], ['App Functionality', 'Contact Info'], ['App Functionality', 'Email Address'], ['App Functionality', 'Phone Number'], ['App Functionality', 'User Content'], ['App Functionality', 'Photos or Videos'], ['App Functionality', 'Customer Support'], ['App Functionality', 'Other User Content'], ['App Functionality', 'Identifiers'], ['App Functionality', 'User ID'], ['App Functionality', 'Device ID'], ['App Functionality', 'Usage Data'], ['App Functionality', 'Product Interaction']]</t>
  </si>
  <si>
    <t>https://apps.apple.com/us/app/google-gemini/id6477489729</t>
  </si>
  <si>
    <t>Gemini</t>
  </si>
  <si>
    <t>[[[], 'The following data, which may be collected and linked to your identity, may be used for the following purposes:'], ['Developer’s Advertising or Marketing', 'Location'], ['Developer’s Advertising or Marketing', 'Coarse Location'], ['Developer’s Advertising or Marketing', 'Contact Info'], ['Developer’s Advertising or Marketing', 'Email Address'], ['Developer’s Advertising or Marketing', 'Name'], ['Developer’s Advertising or Marketing', 'Identifiers'], ['Developer’s Advertising or Marketing', 'User ID'], ['Analytics', 'Purchases'], ['Analytics', 'Purchase History'], ['Analytics', 'Location'], ['Analytics', 'Precise Location'], ['Analytics', 'Coarse Location'], ['Analytics', 'Contact Info'], ['Analytics', 'Email Address'], ['Analytics', 'User Content'], ['Analytics', 'Customer Support'], ['Analytics', 'Search History'], ['Analytics', 'Search History'], ['Analytics', 'Browsing History'], ['Analytics', 'Browsing History'], ['Analytics', 'Identifiers'], ['Analytics', 'User ID'], ['Analytics', 'Device ID'], ['Analytics', 'Usage Data'], ['Analytics', 'Product Interaction'], ['Analytics', 'Other Usage Data'], ['Analytics', 'Diagnostics'], ['Analytics', 'Crash Data'], ['Analytics', 'Performance Data'], ['Analytics', 'Other Diagnostic Data'], ['Analytics', 'Other Data'], ['Analytics', 'Other Data Types'], ['App Functionality', 'Purchases'], ['App Functionality', 'Purchase History'], ['App Functionality', 'Location'], ['App Functionality', 'Precise Location'], ['App Functionality', 'Coarse Location'], ['App Functionality', 'Contact Info'], ['App Functionality', 'Physical Address'], ['App Functionality', 'Email Address'], ['App Functionality', 'Name'], ['App Functionality', 'Phone Number'], ['App Functionality', 'Contacts'], ['App Functionality', 'Contacts'], ['App Functionality', 'User Content'], ['App Functionality', 'Emails or Text Messages'], ['App Functionality', 'Photos or Videos'], ['App Functionality', 'Customer Support'], ['App Functionality', 'Other User Content'], ['App Functionality', 'Search History'], ['App Functionality', 'Search History'], ['App Functionality', 'Browsing History'], ['App Functionality', 'Browsing History'], ['App Functionality', 'Identifiers'], ['App Functionality', 'User ID'], ['App Functionality', 'Device ID'], ['App Functionality', 'Usage Data'], ['App Functionality', 'Product Interaction'], ['App Functionality', 'Other Usage Data'], ['App Functionality', 'Diagnostics'], ['App Functionality', 'Crash Data'], ['App Functionality', 'Performance Data'], ['App Functionality', 'Other Diagnostic Data'], ['App Functionality', 'Other Data'], ['App Functionality', 'Other Data Types']]</t>
  </si>
  <si>
    <t>https://apps.apple.com/us/app/microsoft-copilot/id6472538445</t>
  </si>
  <si>
    <t>Copilot</t>
  </si>
  <si>
    <t>Microsoft Corporation</t>
  </si>
  <si>
    <t>[[[], 'The following data, which may be collected and linked to your identity, may be used for the following purposes:'], ['Third-Party Advertising', 'Identifiers'], ['Third-Party Advertising', 'Device ID'], ['Third-Party Advertising', 'Usage Data'], ['Third-Party Advertising', 'Advertising Data'], ['Developer’s Advertising or Marketing', 'Identifiers'], ['Developer’s Advertising or Marketing', 'Device ID'], ['Analytics', 'Identifiers'], ['Analytics', 'Device ID'], ['Analytics', 'Usage Data'], ['Analytics', 'Product Interaction'], ['Analytics', 'Diagnostics'], ['Analytics', 'Crash Data'], ['Analytics', 'Performance Data'], ['Product Personalization', 'Search History'], ['Product Personalization', 'Search History'], ['Product Personalization', 'Identifiers'], ['Product Personalization', 'User ID'], ['App Functionality', 'Location'], ['App Functionality', 'Precise Location'], ['App Functionality', 'Contact Info'], ['App Functionality', 'Name'], ['App Functionality', 'User Content'], ['App Functionality', 'Photos or Videos'], ['App Functionality', 'Audio Data'], ['App Functionality', 'Customer Support'], ['App Functionality', 'Identifiers'], ['App Functionality', 'User ID']]</t>
  </si>
  <si>
    <t>Yes</t>
  </si>
  <si>
    <t>https://apps.apple.com/us/app/grok/id6670324846</t>
  </si>
  <si>
    <t>Grok­</t>
  </si>
  <si>
    <t>xAI</t>
  </si>
  <si>
    <t>[[[], 'The following data, which may be collected and linked to your identity, may be used for the following purposes:'], ['Analytics', 'Contact Info'], ['Analytics', 'Email Address'], ['Analytics', 'Name'], ['Analytics', 'Identifiers'], ['Analytics', 'User ID'], ['Analytics', 'Device ID'], ['App Functionality', 'Contact Info'], ['App Functionality', 'Email Address'], ['App Functionality', 'Name'], ['App Functionality', 'Identifiers'], ['App Functionality', 'User ID'], ['App Functionality', 'Device ID'], ['App Functionality', 'Diagnostics'], ['App Functionality', 'Crash Data'], ['App Functionality', 'Performance Data'], ['App Functionality', 'Other Diagnostic Data']]</t>
  </si>
  <si>
    <t>https://apps.apple.com/us/app/claude-by-anthropic/id6473753684</t>
  </si>
  <si>
    <t>Claude</t>
  </si>
  <si>
    <t>Anthropic PBC</t>
  </si>
  <si>
    <t>[[[], 'The following data, which may be collected and linked to your identity, may be used for the following purposes:'], ['Developer’s Advertising or Marketing', 'Location'], ['Developer’s Advertising or Marketing', 'Coarse Location'], ['Developer’s Advertising or Marketing', 'Contact Info'], ['Developer’s Advertising or Marketing', 'Email Address'], ['Developer’s Advertising or Marketing', 'Name'], ['Developer’s Advertising or Marketing', 'Phone Number'], ['Developer’s Advertising or Marketing', 'Identifiers'], ['Developer’s Advertising or Marketing', 'User ID'], ['Developer’s Advertising or Marketing', 'Device ID'], ['Developer’s Advertising or Marketing', 'Usage Data'], ['Developer’s Advertising or Marketing', 'Product Interaction'], ['Analytics', 'Location'], ['Analytics', 'Coarse Location'], ['Analytics', 'User Content'], ['Analytics', 'Photos or Videos'], ['Analytics', 'Customer Support'], ['Analytics', 'Other User Content'], ['Analytics', 'Identifiers'], ['Analytics', 'User ID'], ['Analytics', 'Device ID'], ['Analytics', 'Usage Data'], ['Analytics', 'Product Interaction'], ['Analytics', 'Diagnostics'], ['Analytics', 'Crash Data'], ['Analytics', 'Performance Data'], ['Analytics', 'Other Diagnostic Data'], ['App Functionality', 'Location'], ['App Functionality', 'Coarse Location'], ['App Functionality', 'Contact Info'], ['App Functionality', 'Email Address'], ['App Functionality', 'Name'], ['App Functionality', 'Phone Number'], ['App Functionality', 'User Content'], ['App Functionality', 'Photos or Videos'], ['App Functionality', 'Customer Support'], ['App Functionality', 'Other User Content'], ['App Functionality', 'Identifiers'], ['App Functionality', 'User ID'], ['App Functionality', 'Device ID'], ['App Functionality', 'Usage Data'], ['App Functionality', 'Product Interaction'], ['App Functionality', 'Diagnostics'], ['App Functionality', 'Crash Data'], ['App Functionality', 'Performance Data'], ['App Functionality', 'Other Diagnostic Data']]</t>
  </si>
  <si>
    <t>https://apps.apple.com/us/app/perplexity-ask-anything/id1668000334</t>
  </si>
  <si>
    <t>Perplexity</t>
  </si>
  <si>
    <t>Perplexity AI, Inc.</t>
  </si>
  <si>
    <t>[[[], 'The following data, which may be collected and linked to your identity, may be used for the following purposes:'], ['Analytics', 'Identifiers'], ['Analytics', 'User ID'], ['Analytics', 'Device ID'], ['Analytics', 'Usage Data'], ['Analytics', 'Product Interaction'], ['Analytics', 'Other Usage Data'], ['Analytics', 'Diagnostics'], ['Analytics', 'Crash Data'], ['Analytics', 'Performance Data'], ['Analytics', 'Other Diagnostic Data'], ['Product Personalization', 'Location'], ['Product Personalization', 'Precise Location'], ['Product Personalization', 'Coarse Location'], ['Product Personalization', 'Identifiers'], ['Product Personalization', 'User ID'], ['Product Personalization', 'Device ID'], ['Product Personalization', 'Usage Data'], ['Product Personalization', 'Product Interaction'], ['Product Personalization', 'Other Usage Data'], ['App Functionality', 'Purchases'], ['App Functionality', 'Purchase History'], ['App Functionality', 'Identifiers'], ['App Functionality', 'User ID'], ['App Functionality', 'Device ID'], ['App Functionality', 'Usage Data'], ['App Functionality', 'Product Interaction'], ['App Functionality', 'Other Usage Data'], ['App Functionality', 'Diagnostics'], ['App Functionality', 'Crash Data'], ['App Functionality', 'Performance Data'], ['App Functionality', 'Other Diagnostic Data']]</t>
  </si>
  <si>
    <t>https://apps.apple.com/us/app/pi-personal-ai-assistant/id6445815935</t>
  </si>
  <si>
    <t>Pi</t>
  </si>
  <si>
    <t>Inflection AI</t>
  </si>
  <si>
    <t>[[[], 'The following data, which may be collected and linked to your identity, may be used for the following purposes:'], ['Developer’s Advertising or Marketing', 'Contact Info'], ['Developer’s Advertising or Marketing', 'Name'], ['Developer’s Advertising or Marketing', 'Phone Number'], ['Analytics', 'Contact Info'], ['Analytics', 'Name'], ['Analytics', 'Phone Number'], ['Analytics', 'Usage Data'], ['Analytics', 'Product Interaction'], ['Product Personalization', 'Contact Info'], ['Product Personalization', 'Name'], ['Product Personalization', 'Phone Number'], ['Product Personalization', 'Usage Data'], ['Product Personalization', 'Product Interaction'], ['App Functionality', 'Contact Info'], ['App Functionality', 'Name'], ['App Functionality', 'Phone Number'], ['App Functionality', 'User Content'], ['App Functionality', 'Emails or Text Messages'], ['App Functionality', 'Usage Data'], ['App Functionality', 'Product Interaction'], ['App Functionality', 'Diagnostics'], ['App Functionality', 'Crash Data']]</t>
  </si>
  <si>
    <t>https://apps.apple.com/us/app/poe-fast-ai-chat/id1640745955</t>
  </si>
  <si>
    <t>Poe</t>
  </si>
  <si>
    <t>Quora, Inc.</t>
  </si>
  <si>
    <t>[[[], 'The following data, which may be collected and linked to your identity, may be used for the following purposes:'], ['Developer’s Advertising or Marketing', 'Identifiers'], ['Developer’s Advertising or Marketing', 'Device ID'], ['Analytics', 'Purchases'], ['Analytics', 'Purchase History'], ['Analytics', 'User Content'], ['Analytics', 'Photos or Videos'], ['Analytics', 'Other User Content'], ['Analytics', 'Search History'], ['Analytics', 'Search History'], ['Analytics', 'Identifiers'], ['Analytics', 'User ID'], ['Analytics', 'Device ID'], ['Analytics', 'Usage Data'], ['Analytics', 'Product Interaction'], ['Analytics', 'Diagnostics'], ['Analytics', 'Crash Data'], ['Analytics', 'Performance Data'], ['Analytics', 'Other Diagnostic Data'], ['Product Personalization', 'Contacts'], ['Product Personalization', 'Contacts'], ['Product Personalization', 'Search History'], ['Product Personalization', 'Search History'], ['App Functionality', 'Purchases'], ['App Functionality', 'Purchase History'], ['App Functionality', 'Contact Info'], ['App Functionality', 'Email Address'], ['App Functionality', 'Phone Number'], ['App Functionality', 'Contacts'], ['App Functionality', 'Contacts'], ['App Functionality', 'User Content'], ['App Functionality', 'Customer Support'], ['App Functionality', 'Other User Content'], ['App Functionality', 'Search History'], ['App Functionality', 'Search History'], ['App Functionality', 'Identifiers'], ['App Functionality', 'User ID'], ['App Functionality', 'Device ID'], ['App Functionality', 'Usage Data'], ['App Functionality', 'Product Interaction'], ['Other Purposes', 'User Content'], ['Other Purposes', 'Photos or Videos']]</t>
  </si>
  <si>
    <t>https://apps.apple.com/us/app/jasper-ai-writer-ai-chatbot/id1671683184</t>
  </si>
  <si>
    <t>Jasper</t>
  </si>
  <si>
    <t>Bich Van Tran Dang</t>
  </si>
  <si>
    <t>['Device ID', 'Product Interaction\nAdvertising Data\nOther Usage Data', 'Crash Data']</t>
  </si>
  <si>
    <t>[[[], 'The following data, which may be collected but is not linked to your identity, may be used for the following purposes:'], ['Analytics', 'Identifiers'], ['Analytics', 'Device ID'], ['Analytics', 'Usage Data'], ['Analytics', 'Product Interaction'], ['Analytics', 'Advertising Data'], ['Analytics', 'Other Usage Data'], ['Analytics', 'Diagnostics'], ['Analytics', 'Crash Data']]</t>
  </si>
  <si>
    <t>Total</t>
  </si>
  <si>
    <t>Average</t>
  </si>
  <si>
    <t>% of Apps</t>
  </si>
  <si>
    <t>Study: Overshared online? How the “right to be forgotten” can help</t>
  </si>
  <si>
    <t>Number of requests* (cumulatively since May 29, 2014): All countries and Top 5 countries separately</t>
  </si>
  <si>
    <t>Number of requests*: All countries and Top 5 countries separately</t>
  </si>
  <si>
    <t>Number of URLs per request</t>
  </si>
  <si>
    <t>Date</t>
  </si>
  <si>
    <t>All countries</t>
  </si>
  <si>
    <t>United Kingdom</t>
  </si>
  <si>
    <t>Year</t>
  </si>
  <si>
    <t>% Growth</t>
  </si>
  <si>
    <t>-</t>
  </si>
  <si>
    <t>Number of URLs* (cumulatively since May 29, 2014): All countries and Top 5 countries separately</t>
  </si>
  <si>
    <t>Number of URLs*: All countries and Top 5 countries separately</t>
  </si>
  <si>
    <t>*Google compiles its data on received requests to delist content under European privacy law and the total number of URLs for delisting of search results cumulatively every Sunday. To determine the total number of requests and URLs for delisting, the selected dates were January 1, 2023, and December 31, 2023, for the year 2023, and December 31, 2023, and December 29, 2024, for the year 2024. To calculate the totals, the value from the last week of one year was subtracted from the value of a specific week of the following year. This method means the data may not fully represent the entire year.</t>
  </si>
  <si>
    <t>Number of URLs** by website type: All countries</t>
  </si>
  <si>
    <t>Miscellaneous</t>
  </si>
  <si>
    <t>News</t>
  </si>
  <si>
    <t>Directory</t>
  </si>
  <si>
    <t>Government</t>
  </si>
  <si>
    <t>Type of website: Directory (category)</t>
  </si>
  <si>
    <t>Type of content: Personal information (category)</t>
  </si>
  <si>
    <t>Number of URLs** in 2024</t>
  </si>
  <si>
    <t>Poland</t>
  </si>
  <si>
    <t>Switzerland</t>
  </si>
  <si>
    <t>Hungary</t>
  </si>
  <si>
    <t>Luxembourg</t>
  </si>
  <si>
    <t>Malta</t>
  </si>
  <si>
    <t>Iceland</t>
  </si>
  <si>
    <t>Cyprus</t>
  </si>
  <si>
    <t>Jersey</t>
  </si>
  <si>
    <t>Andorra</t>
  </si>
  <si>
    <t>Monaco</t>
  </si>
  <si>
    <t>Liechtenstein</t>
  </si>
  <si>
    <t>Guernsey</t>
  </si>
  <si>
    <t>San Marino</t>
  </si>
  <si>
    <t>Isle of Man</t>
  </si>
  <si>
    <t>All countries:</t>
  </si>
  <si>
    <t>Total URLs*** not delisted</t>
  </si>
  <si>
    <t>Total URLs*** delisted</t>
  </si>
  <si>
    <t>% of Total</t>
  </si>
  <si>
    <t>**Data filtering options were available for the periods from January 1, 2023, to December 31, 2023, and January 1, 2024, to December 31, 2024, and these were utilized.</t>
  </si>
  <si>
    <t>***Does not include requests still under review or those needing more information to process.</t>
  </si>
  <si>
    <t xml:space="preserve">URL delisting rate: Personal information (category) </t>
  </si>
  <si>
    <t>%</t>
  </si>
  <si>
    <r>
      <rPr/>
      <t xml:space="preserve">Source: </t>
    </r>
    <r>
      <rPr>
        <color rgb="FF1155CC"/>
        <u/>
      </rPr>
      <t>https://transparencyreport.google.com/eu-privacy/overview</t>
    </r>
  </si>
  <si>
    <t>Do phone cleaner apps help declutter your digital space?</t>
  </si>
  <si>
    <t>Developer</t>
  </si>
  <si>
    <t>https://apps.apple.com/us/app/cleanup-phone-storage-cleaner/id1510944943</t>
  </si>
  <si>
    <t>Cleanup</t>
  </si>
  <si>
    <t>Codeway Dijital Hizmetler Anonim Sirketi</t>
  </si>
  <si>
    <t>['Purchase History', 'Device ID', 'Product Interaction']</t>
  </si>
  <si>
    <t>[[[], 'The following data, which may be collected and linked to your identity, may be used for the following purposes:'], ['Analytics', 'Usage Data'], ['Analytics', 'Advertising Data']]</t>
  </si>
  <si>
    <t>[[[], 'The following data, which may be collected but is not linked to your identity, may be used for the following purposes:'], ['Analytics', 'Purchases'], ['Analytics', 'Purchase History'], ['Analytics', 'Identifiers'], ['Analytics', 'Device ID'], ['Analytics', 'Usage Data'], ['Analytics', 'Product Interaction'], ['Product Personalization', 'Purchases'], ['Product Personalization', 'Purchase History'], ['Product Personalization', 'Identifiers'], ['Product Personalization', 'Device ID'], ['Product Personalization', 'Usage Data'], ['Product Personalization', 'Product Interaction'], ['App Functionality', 'Identifiers'], ['App Functionality', 'Device ID'], ['App Functionality', 'Usage Data'], ['App Functionality', 'Product Interaction'], ['App Functionality', 'Diagnostics'], ['App Functionality', 'Crash Data'], ['App Functionality', 'Performance Data']]</t>
  </si>
  <si>
    <t>https://apps.apple.com/us/app/cleaner-guru-cleaning-app/id1476380919</t>
  </si>
  <si>
    <t>Cleaner Guru</t>
  </si>
  <si>
    <t>GM UniverseApps Limited</t>
  </si>
  <si>
    <t>['Advertising Data']</t>
  </si>
  <si>
    <t>[[[], 'The following data, which may be collected but is not linked to your identity, may be used for the following purposes:'], ['Developerâ€™s Advertising or Marketing', 'Usage Data'], ['Developerâ€™s Advertising or Marketing', 'Advertising Data'], ['Analytics', 'Identifiers'], ['Analytics', 'User ID'], ['Analytics', 'Device ID'], ['Analytics', 'Usage Data'], ['Analytics', 'Product Interaction'], ['Analytics', 'Advertising Data'], ['Analytics', 'Diagnostics'], ['Analytics', 'Crash Data'], ['Analytics', 'Performance Data'], ['App Functionality', 'Contact Info'], ['App Functionality', 'Email Address'], ['App Functionality', 'Contacts'], ['App Functionality', 'Contacts'], ['App Functionality', 'User Content'], ['App Functionality', 'Photos or Videos'], ['App Functionality', 'Customer Support'], ['App Functionality', 'Usage Data'], ['App Functionality', 'Product Interaction']]</t>
  </si>
  <si>
    <t>https://apps.apple.com/us/app/ai-cleaner-clean-up-storage/id6448330325</t>
  </si>
  <si>
    <t>AI Cleaner</t>
  </si>
  <si>
    <t>GRIMLAX TRADE, S.L.</t>
  </si>
  <si>
    <t>['User ID\nDevice ID']</t>
  </si>
  <si>
    <t>[[[], 'The following data, which may be collected and linked to your identity, may be used for the following purposes:'], ['Developerâ€™s Advertising or Marketing', 'Usage Data'], ['Developerâ€™s Advertising or Marketing', 'Product Interaction'], ['Developerâ€™s Advertising or Marketing', 'Advertising Data'], ['Analytics', 'Purchases'], ['Analytics', 'Purchase History'], ['Analytics', 'Identifiers'], ['Analytics', 'User ID'], ['Analytics', 'Device ID'], ['Analytics', 'Usage Data'], ['Analytics', 'Product Interaction'], ['Analytics', 'Advertising Data'], ['Analytics', 'Other Usage Data'], ['Analytics', 'Diagnostics'], ['Analytics', 'Crash Data'], ['Analytics', 'Performance Data'], ['Analytics', 'Other Diagnostic Data'], ['Analytics', 'Other Data'], ['Analytics', 'Other Data Types'], ['App Functionality', 'Purchases'], ['App Functionality', 'Purchase History'], ['App Functionality', 'Identifiers'], ['App Functionality', 'User ID'], ['App Functionality', 'Device ID'], ['App Functionality', 'Usage Data'], ['App Functionality', 'Product Interaction'], ['App Functionality', 'Diagnostics'], ['App Functionality', 'Crash Data'], ['App Functionality', 'Performance Data'], ['App Functionality', 'Other Diagnostic Data'], ['App Functionality', 'Other Data'], ['App Functionality', 'Other Data Types']]</t>
  </si>
  <si>
    <t>[[[], 'The following data, which may be collected but is not linked to your identity, may be used for the following purposes:'], ['App Functionality', 'User Content'], ['App Functionality', 'Photos or Videos']]</t>
  </si>
  <si>
    <t>https://apps.apple.com/us/app/photo-cleaner-swipewipe/id1583884012</t>
  </si>
  <si>
    <t>Swipewipe</t>
  </si>
  <si>
    <t>MWM</t>
  </si>
  <si>
    <t>['User ID\nDevice ID', 'Product Interaction\nAdvertising Data', 'Other Data Types']</t>
  </si>
  <si>
    <t>[[[], 'The following data, which may be collected and linked to your identity, may be used for the following purposes:'], ['Third-Party Advertising', 'Identifiers'], ['Third-Party Advertising', 'User ID'], ['Third-Party Advertising', 'Device ID'], ['Third-Party Advertising', 'Usage Data'], ['Third-Party Advertising', 'Product Interaction'], ['Third-Party Advertising', 'Advertising Data'], ['Analytics', 'Purchases'], ['Analytics', 'Purchase History'], ['Analytics', 'Identifiers'], ['Analytics', 'User ID'], ['Analytics', 'Device ID'], ['Analytics', 'Usage Data'], ['Analytics', 'Product Interaction'], ['Analytics', 'Advertising Data'], ['Analytics', 'Other Data'], ['Analytics', 'Other Data Types'], ['App Functionality', 'Purchases'], ['App Functionality', 'Purchase History'], ['Other Purposes', 'Identifiers'], ['Other Purposes', 'Device ID']]</t>
  </si>
  <si>
    <t>[[[], 'The following data, which may be collected but is not linked to your identity, may be used for the following purposes:'], ['App Functionality', 'Diagnostics'], ['App Functionality', 'Crash Data']]</t>
  </si>
  <si>
    <t>https://apps.apple.com/us/app/clean-up-storage-cleaner-kit/id1194582243</t>
  </si>
  <si>
    <t>Cleaner Kit</t>
  </si>
  <si>
    <t>BPMobile</t>
  </si>
  <si>
    <t>['Purchase History', 'Precise Location\nCoarse Location', 'User ID\nDevice ID', 'Product Interaction\nAdvertising Data\nOther Usage Data', 'Other Data Types']</t>
  </si>
  <si>
    <t>[[[], 'The following data, which may be collected and linked to your identity, may be used for the following purposes:'], ['Third-Party Advertising', 'Location'], ['Third-Party Advertising', 'Precise Location'], ['Third-Party Advertising', 'Coarse Location'], ['Third-Party Advertising', 'Identifiers'], ['Third-Party Advertising', 'Device ID'], ['Third-Party Advertising', 'Usage Data'], ['Third-Party Advertising', 'Advertising Data'], ['Third-Party Advertising', 'Other Usage Data'], ['Third-Party Advertising', 'Other Data'], ['Third-Party Advertising', 'Other Data Types'], ['Analytics', 'Purchases'], ['Analytics', 'Purchase History'], ['Analytics', 'Location'], ['Analytics', 'Precise Location'], ['Analytics', 'Coarse Location'], ['Analytics', 'User Content'], ['Analytics', 'Customer Support'], ['Analytics', 'Identifiers'], ['Analytics', 'User ID'], ['Analytics', 'Device ID'], ['Analytics', 'Usage Data'], ['Analytics', 'Product Interaction'], ['Analytics', 'Advertising Data'], ['Analytics', 'Other Usage Data'], ['Analytics', 'Other Data'], ['Analytics', 'Other Data Types'], ['App Functionality', 'Purchases'], ['App Functionality', 'Purchase History'], ['App Functionality', 'User Content'], ['App Functionality', 'Customer Support'], ['App Functionality', 'Identifiers'], ['App Functionality', 'User ID'], ['App Functionality', 'Device ID'], ['App Functionality', 'Usage Data'], ['App Functionality', 'Product Interaction'], ['App Functionality', 'Advertising Data'], ['App Functionality', 'Other Usage Data'], ['App Functionality', 'Diagnostics'], ['App Functionality', 'Crash Data'], ['App Functionality', 'Other Data'], ['App Functionality', 'Other Data Types']]</t>
  </si>
  <si>
    <t>https://apps.apple.com/us/app/mighty-cleaner-ai-clean-up/id6448141961</t>
  </si>
  <si>
    <t>Mighty Cleaner</t>
  </si>
  <si>
    <t>TJNewIdeasLifes</t>
  </si>
  <si>
    <t>[[[], 'The following data, which may be collected but is not linked to your identity, may be used for the following purposes:'], ['Third-Party Advertising', 'Identifiers'], ['Third-Party Advertising', 'Device ID']]</t>
  </si>
  <si>
    <t>https://apps.apple.com/us/app/one-cleaner-ai-clean-storage/id6740607904</t>
  </si>
  <si>
    <t>One Cleaner</t>
  </si>
  <si>
    <t>æ°¸çˆ½ åµ‡</t>
  </si>
  <si>
    <t>['Purchase History', 'User ID', 'Product Interaction']</t>
  </si>
  <si>
    <t>[[[], 'The following data, which may be collected but is not linked to your identity, may be used for the following purposes:'], ['Third-Party Advertising', 'Purchases'], ['Third-Party Advertising', 'Purchase History'], ['Analytics', 'Purchases'], ['Analytics', 'Purchase History'], ['Analytics', 'Identifiers'], ['Analytics', 'User ID'], ['Analytics', 'Usage Data'], ['Analytics', 'Product Interaction'], ['Analytics', 'Diagnostics'], ['Analytics', 'Crash Data'], ['App Functionality', 'Contacts'], ['App Functionality', 'Contacts'], ['App Functionality', 'User Content'], ['App Functionality', 'Photos or Videos']]</t>
  </si>
  <si>
    <t>https://apps.apple.com/us/app/turbo-cleaner-clean-storage/id6738571716</t>
  </si>
  <si>
    <t>Turbo Cleaner</t>
  </si>
  <si>
    <t>JK REPAIR PTE. LTD.</t>
  </si>
  <si>
    <t>[[[], 'The following data, which may be collected but is not linked to your identity, may be used for the following purposes:'], ['Analytics', 'Usage Data'], ['Analytics', 'Product Interaction'], ['Analytics', 'Diagnostics'], ['Analytics', 'Crash Data'], ['App Functionality', 'Contacts'], ['App Functionality', 'Contacts'], ['App Functionality', 'User Content'], ['App Functionality', 'Photos or Videos'], ['App Functionality', 'Identifiers'], ['App Functionality', 'Device ID']]</t>
  </si>
  <si>
    <t>https://apps.apple.com/us/app/smart-cleaner-free-up-storage/id6448222268</t>
  </si>
  <si>
    <t>Smart Cleaner</t>
  </si>
  <si>
    <t>NAICOO PTE. LTD.</t>
  </si>
  <si>
    <t>[[[], 'The following data, which may be collected and linked to your identity, may be used for the following purposes:'], ['Third-Party Advertising', 'Identifiers'], ['Third-Party Advertising', 'Device ID'], ['Analytics', 'Identifiers'], ['Analytics', 'Device ID']]</t>
  </si>
  <si>
    <t>[[[], 'The following data, which may be collected but is not linked to your identity, may be used for the following purposes:'], ['Third-Party Advertising', 'Usage Data'], ['Third-Party Advertising', 'Advertising Data'], ['Analytics', 'User Content'], ['Analytics', 'Photos or Videos'], ['Analytics', 'Usage Data'], ['Analytics', 'Product Interaction'], ['Analytics', 'Diagnostics'], ['Analytics', 'Crash Data'], ['App Functionality', 'User Content'], ['App Functionality', 'Photos or Videos']]</t>
  </si>
  <si>
    <t>https://apps.apple.com/us/app/phone-cleaner-ai-clean-storage/id1463756032</t>
  </si>
  <si>
    <t>AI Clean Storage</t>
  </si>
  <si>
    <t>Smart Tool Studio</t>
  </si>
  <si>
    <t>['Coarse Location', 'Browsing History', 'Device ID', 'Product Interaction\nAdvertising Data']</t>
  </si>
  <si>
    <t>[[[], 'The following data, which may be collected and linked to your identity, may be used for the following purposes:'], ['Third-Party Advertising', 'Browsing History'], ['Third-Party Advertising', 'Browsing History'], ['Third-Party Advertising', 'Identifiers'], ['Third-Party Advertising', 'Device ID'], ['Third-Party Advertising', 'Usage Data'], ['Third-Party Advertising', 'Product Interaction'], ['Third-Party Advertising', 'Advertising Data'], ['App Functionality', 'Identifiers'], ['App Functionality', 'User ID']]</t>
  </si>
  <si>
    <t>[[[], 'The following data, which may be collected but is not linked to your identity, may be used for the following purposes:'], ['Third-Party Advertising', 'Location'], ['Third-Party Advertising', 'Coarse Location'], ['Third-Party Advertising', 'Diagnostics'], ['Third-Party Advertising', 'Crash Data'], ['Third-Party Advertising', 'Other Data'], ['Third-Party Advertising', 'Other Data Types'], ['Analytics', 'Diagnostics'], ['Analytics', 'Crash Data'], ['Analytics', 'Other Data'], ['Analytics', 'Other Data Types'], ['App Functionality', 'Contact Info'], ['App Functionality', 'Email Address']]</t>
  </si>
  <si>
    <t>T</t>
  </si>
  <si>
    <t>Study: Record number of ransomware attacks recorded in January 2025</t>
  </si>
  <si>
    <t>Number of ransomware attacks globally</t>
  </si>
  <si>
    <t>Proportion of ransomware attacks in North America and Europe</t>
  </si>
  <si>
    <t>Month</t>
  </si>
  <si>
    <t>Region</t>
  </si>
  <si>
    <t>January</t>
  </si>
  <si>
    <t>North America</t>
  </si>
  <si>
    <t>February</t>
  </si>
  <si>
    <t>Europe</t>
  </si>
  <si>
    <t>March</t>
  </si>
  <si>
    <t>April</t>
  </si>
  <si>
    <t>May</t>
  </si>
  <si>
    <t>June</t>
  </si>
  <si>
    <t>July</t>
  </si>
  <si>
    <t>August</t>
  </si>
  <si>
    <t>September</t>
  </si>
  <si>
    <t>October</t>
  </si>
  <si>
    <t>November</t>
  </si>
  <si>
    <t>December</t>
  </si>
  <si>
    <t>Source: https://www.nccgroup.com/us/resource-hub/cyber-threat-intelligence-reports/</t>
  </si>
  <si>
    <t xml:space="preserve">ADD ME </t>
  </si>
  <si>
    <t>Sources</t>
  </si>
  <si>
    <t>604 organizations sample impacted by data breaches between  March 2023 and February 2024</t>
  </si>
  <si>
    <t>https://table.media/wp-content/uploads/2024/07/30132828/Cost-of-a-Data-Breach-Report-2024.pdf</t>
  </si>
  <si>
    <t>Page 39</t>
  </si>
  <si>
    <t>Industry</t>
  </si>
  <si>
    <t>Distribution by industry</t>
  </si>
  <si>
    <t>Financial</t>
  </si>
  <si>
    <t>Industrial</t>
  </si>
  <si>
    <t>Professional services</t>
  </si>
  <si>
    <t>Technology</t>
  </si>
  <si>
    <t>Public</t>
  </si>
  <si>
    <t>Energy</t>
  </si>
  <si>
    <t>Retail</t>
  </si>
  <si>
    <t>Communication</t>
  </si>
  <si>
    <t>Consumer</t>
  </si>
  <si>
    <t>Transportation</t>
  </si>
  <si>
    <t>Pharma</t>
  </si>
  <si>
    <t>Hospitality</t>
  </si>
  <si>
    <t>Media</t>
  </si>
  <si>
    <t>Education</t>
  </si>
  <si>
    <t>Entertainment</t>
  </si>
  <si>
    <t>Healthcare</t>
  </si>
  <si>
    <t>Research</t>
  </si>
  <si>
    <t>EMPACT 2023 results: Cyber attacks against information systems</t>
  </si>
  <si>
    <t>https://www.europol.europa.eu/cms/sites/default/files/documents/empact-factsheet-2023.pdf</t>
  </si>
  <si>
    <t>Page 20</t>
  </si>
  <si>
    <t>Phishing websites identified</t>
  </si>
  <si>
    <t>Phishing websites taken down</t>
  </si>
  <si>
    <t>% of websites taken down</t>
  </si>
  <si>
    <t>% of websites not taken down</t>
  </si>
  <si>
    <t>Cyber Threats overview</t>
  </si>
  <si>
    <t>% of unsafe public Wi-Fi</t>
  </si>
  <si>
    <r>
      <rPr>
        <rFont val="Arial"/>
        <color rgb="FF1155CC"/>
        <u/>
      </rPr>
      <t>25% of open WiFi spots in Paris are insecure - Menos Fios</t>
    </r>
  </si>
  <si>
    <t>% of malicious QR codes</t>
  </si>
  <si>
    <r>
      <rPr>
        <rFont val="Arial"/>
        <color rgb="FF1155CC"/>
        <u/>
      </rPr>
      <t>2025 QR Code Phishing Statistics: Key Quishing Trends &amp; Stats - Keepnet</t>
    </r>
  </si>
  <si>
    <t>Study: Healthcare cybersecurity challenges</t>
  </si>
  <si>
    <t>The largest hacking/IT incident in the United States in 2024, based on the number of affected individuals (separately among "resolved" and "under investigation")</t>
  </si>
  <si>
    <t>US:</t>
  </si>
  <si>
    <t>Name of Covered Entity</t>
  </si>
  <si>
    <t>State</t>
  </si>
  <si>
    <t>State Name</t>
  </si>
  <si>
    <t>Covered Entity Type</t>
  </si>
  <si>
    <t>Individuals Affected (only above 1000)</t>
  </si>
  <si>
    <t>Breach Submission Date</t>
  </si>
  <si>
    <t>Submission Year</t>
  </si>
  <si>
    <t>Type of Breach</t>
  </si>
  <si>
    <t>Location of Breached Information</t>
  </si>
  <si>
    <t>Business Associate Present</t>
  </si>
  <si>
    <t>Web Description</t>
  </si>
  <si>
    <t>Status</t>
  </si>
  <si>
    <t>Number of Breaches</t>
  </si>
  <si>
    <t>Access Ambulatory Surgery Center, LLC</t>
  </si>
  <si>
    <t>NH</t>
  </si>
  <si>
    <t>New Hampshire</t>
  </si>
  <si>
    <t>Healthcare Provider</t>
  </si>
  <si>
    <t>Hacking/IT Incident</t>
  </si>
  <si>
    <t>Network Server</t>
  </si>
  <si>
    <t>The covered entity (CE), Access Ambulatory Surgery Center, reported that its business associate (BA) experienced a cyber-attack that compromised the protected health information (PHI) of 5,205 individuals. The PHI involved included names, dates of birth, Social Security numbers, claims information, and treatment information. The CE notified HHS, affected individuals, and the media. In its mitigation efforts, the CE offered free credit protection services to affected individuals.</t>
  </si>
  <si>
    <t>Resolved</t>
  </si>
  <si>
    <t>Panoramic Health</t>
  </si>
  <si>
    <t>AZ</t>
  </si>
  <si>
    <t>Arizona</t>
  </si>
  <si>
    <t>Business Associate</t>
  </si>
  <si>
    <t>Email</t>
  </si>
  <si>
    <t>The business associate (BA), Panoramic Health, reported that an employee was the subject of an email phishing scheme that affected the protected health information (PHI) of 6,228 individuals. The PHI involved included names, dates of birth, Social Security and drivers' license numbers, addresses, diagnoses/conditions, lab results, medications, claims and financial information, and other treatment information. The BA notified HHS, the affected individuals, the media, and provided substitute notice. In response to the breach, the CE provided complimentary credit monitoring services and implemented additional administrative, technical, and security safeguards. Staff were retrained on email security precautions.</t>
  </si>
  <si>
    <t>Under investigation</t>
  </si>
  <si>
    <t>Okanogan Behavioral HealthCare</t>
  </si>
  <si>
    <t>WA</t>
  </si>
  <si>
    <t>Washington</t>
  </si>
  <si>
    <t>The covered entity (CE), Okanogan Behavioral HealthCare, reported that it experienced a ransomware attack that compromised the protected health information (PHI) of 26,429 individuals. The PHI involved included names, Social Security and drivers' license numbers, dates of birth, diagnoses, and health insurance and other treatment information. The CE notified HHS, affected individuals, the media, and posted substitute notice on its website. In its mitigation efforts, the CE implemented additional administrative, technical, and security safeguards to better protect its PHI. In addition, the CE retrained its workforce members on cybersecurity precautions. OCR provided technical assistance regarding the HIPAA Rules.</t>
  </si>
  <si>
    <t>Grand Total</t>
  </si>
  <si>
    <t>Vasinda's Around the Clock Care dba ATC Home Care</t>
  </si>
  <si>
    <t>CA</t>
  </si>
  <si>
    <t>California</t>
  </si>
  <si>
    <t>The covered entity (CE), Vasinda's Around the Clock Care dba ATC Home Care, reported that it experienced a cybersecurity incident that affected the protected health information (PHI) of 3,785 individuals. The PHI involved included names, addresses, claims information, diagnoses/conditions, lab results, medications, and other treatment information. The CE notified HHS, affected individuals, the media, and posted substitute notice on its website. In response to the breach, the CE provided complimentary credit monitoring services and implemented additional administrative, technical, and security safeguards. Staff were retrained.</t>
  </si>
  <si>
    <t>University of Connecticut Health Center Finance Corporation</t>
  </si>
  <si>
    <t>CT</t>
  </si>
  <si>
    <t>Connecticut</t>
  </si>
  <si>
    <t>University of Connecticut Health Center Finance Corporation, the covered entity (CE), reported that an employee was the subject of an email phishing scheme that compromised the protected health information (PHI) of 1,123 individuals. The PHI involved included names, dates of birth, drivers' license and Social Security numbers, addresses, diagnoses, and financial information. The CE notified HHS, affected individuals, and the media. In response to the breach the CE implemented additional administrative and technical safeguards. Staff were retrained on email security.</t>
  </si>
  <si>
    <t>Julie D. Kinsler DDS LLC dba Kinsler Family Dentistry</t>
  </si>
  <si>
    <t>IN</t>
  </si>
  <si>
    <t>Indiana</t>
  </si>
  <si>
    <t>The covered entity (CE), Julie D. Kinsler DDS dba Kinsler Family Dentistry, reported that it was the subject of a ransomware attack that affected the protected health information (PHI) of 5,500 individuals. The PHI involved included names, addresses, dates of birth, Social Security numbers, lab results, medications, diagnoses, and other treatment information. The CE notified HHS, affected individuals, the media, and posted substitute notice on its website. In its mitigation efforts, the CE implemented additional administrative, technical, and security safeguards to better protect PHI.</t>
  </si>
  <si>
    <t>PRM Management Company, Inc.</t>
  </si>
  <si>
    <t>FL</t>
  </si>
  <si>
    <t>Florida</t>
  </si>
  <si>
    <t>The covered entity (CE), PRM Management Company, reported that an employee was the subject of an email phishing scheme that compromised the protected health information (PHI) of 3,359 individuals. The PHI involved included names, addresses, dates of birth, claims information, diagnoses/conditions, medications, and other treatment information. The CE notified HHS, affected individuals, and provided substitute notice on its website. In response to the breach, the CE implemented additional administrative, technical, and security safeguards to better protect its PHI.</t>
  </si>
  <si>
    <t>Providence Pediatrics Manito</t>
  </si>
  <si>
    <t>Unauthorized Access/Disclosure</t>
  </si>
  <si>
    <t>Paper/Films</t>
  </si>
  <si>
    <t>The covered entity (CE), Providence Pediatrics Manito, reported that a mailing error by an employee of its business associate (BA) resulted in the protected health information (PHI) of 1,166 individuals being mailed to incorrect addresses. The PHI involved included names and treatment information. The CE notified HHS, the affected individuals, the media, and provided substitute notice. In response to the breach, the BA implemented additional administrative safeguards and retrained workforce members to better protect PHI.</t>
  </si>
  <si>
    <t>Allcare Medical Management Incorporated</t>
  </si>
  <si>
    <t>The business associate (BA), Allcare Medical Management, reported that an employee was the subject of an email phishing scheme that affected the protected health information (PHI) of 16,378 individuals. The PHI involved included names, dates of birth, Social Security numbers, and other demographic information. The BA notified HHS, affected individuals, the media, and posted substitute notice online. In its mitigation efforts, the BA implemented additional administrative, technical, and security safeguards to better protect its PHI. In addition, the BA retrained its workforce members on email security precautions. OCR provided technical assistance regarding the HIPAA Rules.</t>
  </si>
  <si>
    <t>Theft</t>
  </si>
  <si>
    <t>Arisa Health Incorporated</t>
  </si>
  <si>
    <t>AR</t>
  </si>
  <si>
    <t>Arkansas</t>
  </si>
  <si>
    <t>The covered entity (CE), Arisa Health, reported that it was the subject of a ransomware attack that affected the protected health information (PHI) of 375,436 individuals. The PHI involved included names, addresses, dates of birth, email addresses, Social Security numbers, medical records numbers, diagnoses/conditions, and other treatment information. The CE notified HHS, the affected individuals, the media, and provided substitute notice. In response to the breach, the CE implemented additional administrative, technical, and security safeguards. Staff were retrained.</t>
  </si>
  <si>
    <t>Loss</t>
  </si>
  <si>
    <t>Neuro Rehab Associates, Inc. d/b/a Northeast Rehabilitation Hospital Network</t>
  </si>
  <si>
    <t>The covered entity (CE), Northeast Rehabilitation Hospital Network, reported that it experienced a cyber-attack that affected the protected health information (PHI) of 136,724 individuals. The PHI involved included names, Social Security and drivers' license numbers, patient identification numbers, medical record numbers, diagnoses, birthdates, and health insurance and other treatment information. The CE notified HHS, affected individuals, the media, and posted substitute notice to its website. In response to the breach the CE provided complimentary identity theft protection services and implemented additional administrative, technical, and security safeguards to better protect its PHI.</t>
  </si>
  <si>
    <t>Improper Disposal</t>
  </si>
  <si>
    <t>Kaiser Foundation Hospitals, Northern California and The Permanente Medical Group, Inc.</t>
  </si>
  <si>
    <t>Electronic Medical Record</t>
  </si>
  <si>
    <t>The covered entity (CE), Kaiser Foundation Hospitals, Northern California and The Permanente Medical Group, reported that an employee impermissibly accessed the medical records of 3,435 individuals. The protected health information (PHI) involved included names, dates of birth, addresses, email addresses, clinical information, phone numbers, and other treatment information. The CE notified HHS, affected individuals, and the media. In response to the breach, the CE revised its policies and procedures and sanctioned the workforce member involved.</t>
  </si>
  <si>
    <t>Aveanna Healthcare, LLC</t>
  </si>
  <si>
    <t>GA</t>
  </si>
  <si>
    <t>Georgia</t>
  </si>
  <si>
    <t>The covered entity (CE), Aveanna Healthcare reported that multiple employees emailed the protected health information (PHI) of 10,482 individuals to their personal email accounts. The PHI involved included names, dates of birth, health insurance information, diagnoses, lab results, medications, Social Security numbers, and other treatment information. The CE notified HHS, affected individuals, the media, and posted substitute notice on its website. In response to the breach, the CE provided complimentary credit monitoring services and strengthened its administrative, technical, and security safeguards to further protect its sensitive data.</t>
  </si>
  <si>
    <t>Family Dynamics Counseling Services, Inc.</t>
  </si>
  <si>
    <t>The covered entity (CE), Family Dynamics Counseling Services, reported that its business associate (BA) impermissibly disposed of a laptop which contained the protected health information (PHI) of 4,373 individuals. The PHI involved included names, phone numbers, address, dates of birth, and other treatment information. The CE notified HHS, the affected individuals, and the media. In response to the breach, the CE terminated its business relationship with the BA and implemented new administrative and technical safeguards.</t>
  </si>
  <si>
    <t>Janna Pharmacy LLC</t>
  </si>
  <si>
    <t>The covered entity (CE), Janna Pharmacy, reported that an employee impermissibly emailed the protected health information (PHI) of 26,372 individuals to her personal email account. The PHI involved included names, dates of birth, addresses, prescriptions, and health insurance information. The CE notified HHS and the affected individuals. In response to the breach, the CE provided complimentary credit monitoring services and implemented additional administrative, technical, and security safeguards to better protect its sensitive data.</t>
  </si>
  <si>
    <t>Individuals Affected</t>
  </si>
  <si>
    <t>Sheet Metal Workers Local Union #83 Insurance Fund and Annuity Fund</t>
  </si>
  <si>
    <t>NY</t>
  </si>
  <si>
    <t>New York</t>
  </si>
  <si>
    <t>Health Plan</t>
  </si>
  <si>
    <t>The covered entity (CE), Sheet Metal Workers Local Union #83 Insurance Fund and Annuity Fund, reported that an employee was the subject of an email phishing scheme that compromised the protected health information (PHI) of 2,184 individuals. The PHI involved included names, addresses, phone numbers, email addresses, dates of birth, Social Security and drivers' license numbers, diagnoses, financial and health insurance information, medications, and claims information. The CE notified HHS, affected individuals, the media, and posted substitute notice on its website. In response to the breach, the CE offered free credit monitoring services and implemented additional administrative, technical, and security safeguards.</t>
  </si>
  <si>
    <t>Maryville, Inc.</t>
  </si>
  <si>
    <t>NJ</t>
  </si>
  <si>
    <t>New Jersey</t>
  </si>
  <si>
    <t>The covered entity (CE), Maryville, reported that an employee was the subject of an email phishing attack that affected the protected health information (PHI) of 24,827 individuals. The PHI involved included names, addresses, Social Security and drivers' license numbers, dates of birth, diagnoses/conditions, lab results, mediations, and claims and treatment information. The CE notified HHS, the affected individuals, the media, and provided substitute notice. In response to the breach, the CE implemented additional administrative, technical, and security safeguards to better protect its PHI.</t>
  </si>
  <si>
    <t>AmeriHealth Caritas Delaware</t>
  </si>
  <si>
    <t>DE</t>
  </si>
  <si>
    <t>Delaware</t>
  </si>
  <si>
    <t>AmeriHealth Caritas Delaware, the covered entity (CE), reported that a vendor of its business associate (BA) experienced a cyber-attack that compromised the protected health information (PHI) of 2,823 individuals. The PHI involved included names, phone numbers, diagnoses, and other treatment and computer access information. The CE notified HHS, affected individuals, and the media. In its mitigation efforts, the CE, BA and its vendor, implemented additional administrative and technical safeguards to better protect sensitive data.</t>
  </si>
  <si>
    <t>SkinCure Oncology</t>
  </si>
  <si>
    <t>IL</t>
  </si>
  <si>
    <t>Illinois</t>
  </si>
  <si>
    <t>The covered entity (CE), SkinCure Oncology, reported that it multiple employees were the subjects of an email phishing attack that affected the protected health information (PHI) of 13,434 individuals. The PHI involved included names, addresses, dates of birth, Social Security and drivers' license numbers, claims information, diagnoses, medications, and other treatment information. The CE notified HHS, the affected individuals, the media, and provided substitute notice. In response to the breach, the CE implemented additional administrative, technical, and security safeguards.</t>
  </si>
  <si>
    <t>Mass General Brigham Health Plan</t>
  </si>
  <si>
    <t>MA</t>
  </si>
  <si>
    <t>Massachusetts</t>
  </si>
  <si>
    <t>Other</t>
  </si>
  <si>
    <t>Mass General Brigham Health Plan, the covered entity (CE), reported that an employee impermissibly shared her system credentials with an unauthorized individual in an effort to outsource her job duties. This breach affected the protected health information (PHI) of 3,659 individuals. The PHI involved included names, addresses, medical record numbers, dates of birth, email addresses, phone numbers, Social Security numbers, health insurance and claims information, and diagnoses. The CE notified HHS, affected individuals, the media, and posted substitute notice on its website. In its mitigation efforts, the CE provided complimentary credit monitoring services and established a call center for questions or concerns. In addition, the employee was sanctioned and all staff were retrained on the requirement to protect and secure sensitive data.</t>
  </si>
  <si>
    <t>Samaritan Health Services, Inc.</t>
  </si>
  <si>
    <t>OR</t>
  </si>
  <si>
    <t>Oregon</t>
  </si>
  <si>
    <t>The covered entity (CE), Samaritan Health Services, reported that a workforce member impermissibly accessed the protected health information (PHI) of 1,296 individuals without authority. The PHI involved included names, dates of birth, addresses, Social Security numbers, claims information, diagnoses, lab results, medications, and other treatment information. The CE notified HHS, affected individuals, and the media. In response to the breach, the CE sanctioned the workforce member and provided free credit monitoring services to affected individuals.</t>
  </si>
  <si>
    <t>Memorial Sloan Kettering Cancer Center</t>
  </si>
  <si>
    <t>The covered entity (CE), Memorial Sloan Kettering Cancer Center, reported that an employee was the subject of an email phishing scheme that affected the protected health information (PHI) of 12,274 individuals. The PHI involved names, addresses, dates of birth, diagnoses, lab results, medications, and other treatment information. The CE notified HHS, the affected individuals, the media, and provided substitute notice. In response to the breach, the CE implemented additional administrative, technical, and security safeguards. Staff were retrained on email security.</t>
  </si>
  <si>
    <t>The Mount Kisco Surgery Center LLC d/b/a The Ambulatory Surgery Center of Westchester</t>
  </si>
  <si>
    <t>The covered entity (CE), The Mount Kisco Surgery Center dba The Ambulatory Surgery Center of Westchester, reported that it experienced a hacking incident that affected the protected health information (PHI) of 22,139 individuals. The PHI involved included names, Social Security and drivers' license or state identification numbers, dates of birth, diagnoses, medications, claims and financial information, and health insurance and treatment information. The CE notified HHS, affected individuals, and the media. In response to the breach, the CE provided complimentary credit monitoring services and implemented additional administrative, technical, and security safeguards. The responsible employee was sanctioned.</t>
  </si>
  <si>
    <t>Pinnacle Orthopaedics &amp; Sports Medicine Specialists LLC</t>
  </si>
  <si>
    <t>The covered entity (CE), Pinnacle Orthopaedics &amp; Sports Medicine Specialists, reported that it was the subject of a ransomware attack that affected the protected health information (PHI) of 1,100 individuals. The PHI involved included names, dates of birth, addresses, lab results, medications, diagnoses/conditions, and other treatment information. The CE notified HHS, the affected individuals, the media, and provided substitute notice. In response to the breach, the CE provided complimentary credit monitoring services and implemented additional administrative, technical, and security safeguards. Staff were retrained to better protect its PHI.</t>
  </si>
  <si>
    <t>Ambulnz Holdings, LLC</t>
  </si>
  <si>
    <t>The covered entity (CE), Ambulnz Holdings, reported that it experienced a cybersecurity incident that affected the protected health information (PHI) of 43,773 individuals. The PHI involved included names, Social Security numbers, addresses, drivers' license numbers, dates of birth, diagnoses, and other treatment information. The CE notified HHS, affected individuals, and the media. In response to the breach, the CE provided complimentary credit monitoring services and implemented additional administrative, technical, and security safeguards to better protect its PHI.</t>
  </si>
  <si>
    <t>Heart South Cardiovascular Group</t>
  </si>
  <si>
    <t>AL</t>
  </si>
  <si>
    <t>Alabama</t>
  </si>
  <si>
    <t>The covered entity (CE), Heart South Cardiovascular Group experienced a ransomware attack that compromised the protected health information (PHI) of 20,577 individuals. The PHI involved included names, addresses, dates of birth, drivers' license numbers, diagnoses, lab results, medications, health insurance information, claims and financial information, Social Security numbers, and other treatment information. The CE notified HHS, affected individuals, the media, and provided substitute notice on its website. In its mitigation efforts, the CE implemented new technical safeguards, and retrained workforce members. OCR provided technical assistance regarding the HIPAA Breach Notification Rule.</t>
  </si>
  <si>
    <t>Benefit Management LLC</t>
  </si>
  <si>
    <t>KS</t>
  </si>
  <si>
    <t>Kansas</t>
  </si>
  <si>
    <t>The business associate (BA), Benefit Management, reported that an employee was the subject of an email phishing attack that affected the protected health information (PHI) of 8,777 individuals. The PHI involved included names, addresses, dates of birth, drivers' license and Social Security numbers, claims and financial information, diagnoses, lab results, medications, and other treatment information. The BA notified HHS, affected individuals, and the media. In its mitigation efforts, the BA provided complimentary credit monitoring services and implemented additional administrative and technical safeguards.</t>
  </si>
  <si>
    <t>Looking Glass Counseling</t>
  </si>
  <si>
    <t>The covered entity (CE), Looking Glass Counseling, reported its business associate (BA) may have altered security settings on its online platform that potentially affected the protected health information (PHI) of 2,739 individuals. The PHI involved included names, email addresses, phone numbers, diagnoses, and other treatment information. The CE notified HHS and the affected individuals. In response to the breach, the CE implemented additional administrative, technical, and security safeguards to better protect PHI.</t>
  </si>
  <si>
    <t>Adventist Health Tulare</t>
  </si>
  <si>
    <t>Adventist Health Tulare, the covered entity (CE), reported that its business associate (BA) experienced a cyber-attack that compromised the protected health information (PHI) of approximately 70,802 individuals. The PHI involved included names, addresses, phone numbers, email addresses, dates of birth, Social Security numbers, diagnoses, drivers' license/state identification numbers, and health insurance information. The BA notified affected individuals and the CE notified HHS, the media, and posted a substitute notice on its website. In its mitigation efforts, the CE and BA implemented additional administrative and technical safeguards. Ultimately, the CE terminated its business relationship with the BA.</t>
  </si>
  <si>
    <t>Desktop Computer</t>
  </si>
  <si>
    <t>Lakeview Health Systems, LLC</t>
  </si>
  <si>
    <t>Laptop</t>
  </si>
  <si>
    <t>Orchard Park Fire District EMS</t>
  </si>
  <si>
    <t>Multiple (e.g. Email, Other)</t>
  </si>
  <si>
    <t>Fora Health, Inc.</t>
  </si>
  <si>
    <t>The covered entity (CE), FORA Health, reported that several employees were the subjects of an email phishing attack that affected the protected health information (PHI) of 1,568 individuals. The PHI involved included names, addresses, dates of birth, Social Security numbers, diagnoses, and medications. The CE notified HHS, the affected individuals, and provided substitute notice. In response to the breach, the CE implemented additional administrative, technical, and security safeguards. Staff were retrained on email security. OCR provided technical assistance regarding the HIPAA Rules.</t>
  </si>
  <si>
    <t>University of Chicago Medical Center</t>
  </si>
  <si>
    <t>The covered entity (CE), University of Chicago Medical Center, reported that multiple employees were the subjects of an email phishing attack that affected the protected health information (PHI) of 10,332 individuals. The PHI involved included names, dates of birth, Social Security numbers, passport numbers, drivers' license or state identification numbers, financial information, diagnoses, medications, and health insurance and other treatment information. The CE notified HHS, the affected individuals, the media, and provided substitute notice. In response to the breach, the CE provided complimentary credit monitoring services and implemented additional administrative, technical, and security safeguards. Staff were retrained on email security.</t>
  </si>
  <si>
    <t>McLean Hospital</t>
  </si>
  <si>
    <t>The covered entity (CE), McLean Hospital, reported that an employee inadvertently made an internal link that contained the protected health information (PHI) of 2,231 individuals available to anyone receiving the link via email. The PHI involved included names, email addresses, dates of birth, Social Security and drivers' license numbers, telephone numbers, diagnoses, medications, and health insurance and other treatment information. The CE notified HHS, the affected individuals, the media, and posted substitute notice on its website. In its mitigation efforts, the CE provided complimentary credit monitoring services and implemented additional administrative, technical, and security safeguards.</t>
  </si>
  <si>
    <t>Population</t>
  </si>
  <si>
    <t>Number of people affected per 100,000 residents</t>
  </si>
  <si>
    <t>County of Los Angeles Department of Mental Health</t>
  </si>
  <si>
    <t>The covered entity (CE), County of Los Angeles Department of Mental Health, reported that an employee was the subject of an email phishing scheme that affected the protected health information (PHI) of 1,598 individuals. The PHI involved included names, dates of birth, Social Security Numbers. The CE notified HHS, the affected individuals, the media, and provided substitute notice. In response to the breach, the CE provided complimentary credit monitoring services and implemented additional administrative, technical, and security safeguards.</t>
  </si>
  <si>
    <t>Minnesota</t>
  </si>
  <si>
    <t>Call 4 Health, Inc.</t>
  </si>
  <si>
    <t>The business associate (BA), Call 4 Health reported that it experienced a ransomware attack that affected the protected health information (PHI) of 10,434 individuals. The PHI involved included names, dates of birth, addresses, phones numbers, Social Security numbers, and treatment information. The BA notified HHS, affected individuals, the media, and posted substitute notice on its website. In response to the breach, the BA implemented additional administrative, technical, and security safeguards. In addition, the BA provided complimentary credit monitoring and related services to affected individuals.</t>
  </si>
  <si>
    <t>Nebraska</t>
  </si>
  <si>
    <t>TimeDoc, Inc</t>
  </si>
  <si>
    <t>The business associate (BA), TimeDoc, reported that a password-protected laptop containing the protected health information (PHI) of 1,894 individuals was stolen. The PHI involved included names, birthdates, and diagnoses. The BA notified HHS, affected individuals, and the media. In its mitigation efforts, the BA implemented additional administrative and technical safeguards to better protect PHI.</t>
  </si>
  <si>
    <t>Utah</t>
  </si>
  <si>
    <t>Children's Health Care</t>
  </si>
  <si>
    <t>MN</t>
  </si>
  <si>
    <t>The covered entity (CE), Children's Health Care, dba Children's Minnesota, reported that several employees were the subjects of an email phishing attack that affected the protected health information (PHI) of 24,183 individuals. The PHI involved included names, addresses, dates of birth, health insurance information, diagnoses, and other treatment information. The CE notified HHS, affected individuals, the media, and provided substitute notice. In response to the breach, the CE implemented additional administrative, technical, and security safeguards. Staff were retrained on email security.</t>
  </si>
  <si>
    <t>Missouri</t>
  </si>
  <si>
    <t>Precision Medical Products Inc.</t>
  </si>
  <si>
    <t>Healthcare Clearing House</t>
  </si>
  <si>
    <t>The covered entity (CE), Precision Medical Products, reported that an employee was the subject of an email phishing attack that affected the protected health information (PHI) of 1,094 individuals. The PHI involved included names, email addresses, health insurance information, and financial information. The CE notified HHS and the affected individuals. In response to the breach, the CE implemented additional administrative, technical, and security safeguards. Staff were retrained on email security.</t>
  </si>
  <si>
    <t>Columbia University Irving Medical Center</t>
  </si>
  <si>
    <t>The covered entity (CE), Columbia University Irving Medical Center, reported that an employee posted the protected health information (PHI) of 29,629 individuals on the Internet. The PHI involved included names, dates of birth, and a single laboratory test result. The CE notified HHS, affected individuals, the media, and posted substitute notice on its website. In response to the breach, the CE secured the data and provided staff additional training in its requirements to protect and secure PHI.</t>
  </si>
  <si>
    <t>Oklahoma</t>
  </si>
  <si>
    <t>Redwood Coast Regional Center</t>
  </si>
  <si>
    <t>The covered entity (CE), Redwood Coast Regional Center, reported that it experienced a cyber-attack that compromised the protected health information (PHI) of 24,937 individuals. The PHI involved included names, dates of birth, addresses, Social Security numbers, financial and claims information, diagnoses, lab results, medications, and other treatment information. The CE notified HHS, the affected individuals, the media, and provided substitute notice. In response to the breach, the CE provided complimentary credit monitoring services and implemented additional administrative, technical, and security safeguards to better protect its sensitive data.</t>
  </si>
  <si>
    <t>Louisiana</t>
  </si>
  <si>
    <t>Affiliated Dermatologists and Dermatologic Surgeons, P.A.</t>
  </si>
  <si>
    <t>The covered entity (CE), Affiliated Dermatologists and Dermatologic Surgeons, reported that it experienced a ransomware attack that affected the protected health information (PHI) of 373,680 individuals. The PHI involved included names, dates of birth, Social Security and drivers' license numbers, health insurance and claims information, passport numbers, and treatment information. The CE notified HHS, affected individuals, the media, and posted substitute notice on its website. In response to the breach, the CE offered free credit monitoring services and implemented additional administrative, technical, and security safeguards.</t>
  </si>
  <si>
    <t>Maryland</t>
  </si>
  <si>
    <t>Marpai Health</t>
  </si>
  <si>
    <t>The covered entity (CE), Marpai Health, Inc. reported that employees were the subject of an email phishing incident that affected the protected health information (PHI) of 1,129 individuals. The PHI involved included names, addresses, dates of birth, drivers' license numbers, diagnoses, medications, claims and health insurance information, and other treatment information. The CE notified HHS, affected individuals, the media, and posted substitute notice on its website. In response to the breach, the CE implemented additional administrative, technical, and security safeguards. Staff were also retrained on email security precautions.</t>
  </si>
  <si>
    <t>Colorado</t>
  </si>
  <si>
    <t>Allergy Medical Group of the North Area, Inc.</t>
  </si>
  <si>
    <t>The covered entity (CE), Allergy Medical Group of the North Area, reported that it experienced a cybersecurity incident that affected the protected health information (PHI) of 6,934 individuals. The PHI involved included names, dates of birth, and financial and health insurance information. The CE notified HHS, affected individuals, the media, and posted substitute notice on its website. In its mitigation efforts, the CE implemented additional administrative, technical, and security safeguards to better protect its PHI. In addition, the CE retrained its workforce members on security awareness precautions. OCR provided technical assistance to the CE regarding the HIPAA Rules.</t>
  </si>
  <si>
    <t>Inland Physicians Billing Services</t>
  </si>
  <si>
    <t>The covered entity (CE), Inland Physicians Billing Services, reported that experienced a ransomware attack that compromised the protected health information (PHI) of 77,434 individuals. The PHI involved included names, dates of birth, Social Security numbers, lab results, diagnoses, and health insurance and treatment information. The CE notified HHS, the affected individuals, the media, and provided substitute notice. In response to the breach and OCR's investigation, the CE updated its administrative and technical safeguards to better protect PHI. OCR provided technical assistance regarding the HIPAA Rules.</t>
  </si>
  <si>
    <t>Texas</t>
  </si>
  <si>
    <t>OrthoConnecticut PLLC</t>
  </si>
  <si>
    <t>The covered entity (CE), OrthoConnecticut, reported that it was the subject of a ransomware incident that affected the protected health information (PHI) of 178,742 individuals. The PHI involved included, names, Social Security numbers, addresses, dates of birth, diagnoses, lab results, medications, and other treatment information. The CE notified HHS, the affected individuals, the media, and provided substitute notice. In response to the breach, the CE provided complimentary credit monitoring services and implemented additional administrative, technical, and security safeguards. Staff were retrained.</t>
  </si>
  <si>
    <t>Idaho</t>
  </si>
  <si>
    <t>Bay Oral Surgery &amp; Implant Center</t>
  </si>
  <si>
    <t>WI</t>
  </si>
  <si>
    <t>Wisconsin</t>
  </si>
  <si>
    <t>The covered entity (CE), Bay Oral Surgery &amp; Implant Center, reported that an employee was the subject of an email phishing attack that affected the protected health information (PHI) of 13,055 individuals. The PHI involved included names, dates of birth, addresses, email addresses, phone numbers, Social Security and drivers' license numbers, health insurance and financial information, diagnoses, medication information, and other treatment information. The CE notified HHS, affected individuals, the media, and provided substitute notice. In response to the breach, the CE implemented additional administrative, technical, and security safeguards. Staff were retrained on email security precautions.</t>
  </si>
  <si>
    <t>Moffitt Cancer Center and Research Institute</t>
  </si>
  <si>
    <t>The covered entity (CE), Moffitt Cancer Center and Research Institute, learned that its business associate (BA) experienced cybersecurity incident that affected the protected health information (PHI) of 26,577 individuals. The PHI involved included names, Social Security numbers, dates of birth, claims information, diagnoses. and medications. The CE notified HHS, the affected individuals, the media, and provided substitute notice. In response to the breach, the CE and BA provided complimentary credit monitoring services and the BA implemented additional administrative, technical, and security safeguards to better protect PHI.</t>
  </si>
  <si>
    <t>The Georgia Institute for Plastic Surgery</t>
  </si>
  <si>
    <t>The covered entity (CE), The Georgia Institute for Plastic Surgery, reported that it experienced a cyber-attack that affected the protected health information (PHI) of 8,111 individuals. The PHI involved included names, addresses, dates of birth, email addresses, and treatment information. The CE notified HHS, affected individuals, the media, and posted substitute notice on its website. In response to the breach, the CE implemented additional administrative, technical, and security safeguards. Staff were retrained on the requirement to protect and secure PHI.</t>
  </si>
  <si>
    <t>Tennessee</t>
  </si>
  <si>
    <t>Health First Urgent Care PLLC</t>
  </si>
  <si>
    <t>The covered entity (CE), Health First Urgent Care, reported that a workforce member sent an email that contained the protected health information (PHI) of 4,169 individuals to an unauthorized recipient. The PHI involved included names and other identifiers. The CE notified HHS and the affected individuals. In its mitigation efforts, the CE sanctioned the workforce member involved and implemented additional administrative safeguards to better protect its PHI.</t>
  </si>
  <si>
    <t>Bluebonnet Trails Community Services</t>
  </si>
  <si>
    <t>TX</t>
  </si>
  <si>
    <t>Iowa</t>
  </si>
  <si>
    <t>Green Diamond Resource Company</t>
  </si>
  <si>
    <t>Green Diamond Resource Company reported that it experienced a ransomware attack that compromised the protected health information of 8,172 individuals. After review it was determined that the entity is not a covered entity and the case was closed.</t>
  </si>
  <si>
    <t>Pennsylvania</t>
  </si>
  <si>
    <t>Tobin, Carberry, O'Malley, Riley &amp; Selinger, P.C.</t>
  </si>
  <si>
    <t>The business associate (BA), Tobin, Carberry, O'Malley, Riley &amp; Selinger, reported that it experienced a ransomware incident that affected the protected health information (PHI) of 47,106 individuals. The PHI involved included names, addresses, birthdates, Social Security numbers, claims and financial information, diagnoses, lab results, and medications. The BA notified HHS, affected individuals, the media, and posted substitute notice on its website. In response to the breach, the BA offered free credit monitoring services and implemented additional administrative, technical, and security safeguards to further protect PHI.</t>
  </si>
  <si>
    <t>Mississippi</t>
  </si>
  <si>
    <t>Philips Respironics</t>
  </si>
  <si>
    <t>PA</t>
  </si>
  <si>
    <t>The business associate (BA), Philips Respironics, reported that a software application used by its business associate (BA) exposed the protected health information (PHI) of 1,338 individuals. The PHI involved included names, dates of birth, addresses, and treatment information. The BA notified HHS, the affected individuals, and posted substitute notice on its website. In response to the breach, the BA provided complimentary credit monitoring services and implemented additional administrative, technical, and security safeguards to better protect PHI.</t>
  </si>
  <si>
    <t>The business associate (BA), Philips Respironics, reported that a software application used by its business associate (BA) exposed the protected health information (PHI) of 7,539 individuals. The PHI involved included names, dates of birth, addresses, and treatment information. The BA notified HHS, the affected individuals, the media, and posted substitute notice on its website. In response to the breach, the BA provided complimentary credit monitoring services and implemented additional administrative and technical safeguards to better protect PHI.</t>
  </si>
  <si>
    <t>The business associate (BA), Philips Respironics, reported that a software application used by its business associate (BA) exposed the protected health information (PHI) of 5,576 individuals. The PHI involved included names, dates of birth, addresses, and treatment information. The BA notified HHS, the affected individuals, the media, and posted substitute notice on its website. In response to the breach, the BA provided complimentary credit monitoring services and implemented additional administrative and technical safeguards to better protect PHI.</t>
  </si>
  <si>
    <t>Dental Health Services</t>
  </si>
  <si>
    <t>The covered entity (CE), Dental Health Services, reported that it inadvertently emailed the protected health information of (PHI) of 4,562 individuals to the wrong recipients. The PHI involved included names, dates of birth, member identification numbers, and health insurance information. The CE notified HHS and the affected individuals. In its mitigation efforts, the CE promptly conducted an internal investigation and secured the affected systems. The CE also implemented additional administrative and technical safeguards. Staff were retrained to better protect PHI.</t>
  </si>
  <si>
    <t>North Carolina</t>
  </si>
  <si>
    <t>Dental Health Services, Inc</t>
  </si>
  <si>
    <t>The covered entity (CE), Dental Health Services, reported that it inadvertently emailed the protected health information of (PHI) of 1,778 individuals to the wrong recipients. The PHI involved included names, dates of birth, member identification numbers, and health insurance information. The CE notified HHS and the affected individuals. In its mitigation efforts, the CE promptly conducted an internal investigation and secured the affected systems. The CE also implemented additional administrative and technical safeguards. Staff were retrained to better protect PHI.</t>
  </si>
  <si>
    <t>Somerset Dental</t>
  </si>
  <si>
    <t>NV</t>
  </si>
  <si>
    <t>Nevada</t>
  </si>
  <si>
    <t>The covered entity (CE), Somerset Dental, reported that it was the subject of a cyber-attack that affected the protected health information (PHI) of 11,321 individuals. The PHI involved included names, dates of birth, addresses, drivers' license and Social Security numbers, diagnoses, and claims and other treatment information. The CE notified HHS, affected individuals, the media, and provided substitute notice. In response to the breach, the CE provided complimentary credit monitoring services and implemented additional administrative, technical, and security safeguards.</t>
  </si>
  <si>
    <t>Hawaii</t>
  </si>
  <si>
    <t>Catholic Medical Center</t>
  </si>
  <si>
    <t>The covered entity (CE), Catholic Medical Center, reported that an employee of its business associate (BA) was the subject of an email phishing attack that compromised the protected health information (PHI) of 2,792 individuals. The PHI involved included names, addresses, dates of birth, drivers' license information, diagnoses, Social Security numbers, and other treatment information. The CE notified HHS, the affected individuals, the media, and posted substitute notice on its website. In its mitigation efforts, the CE provided complimentary credit monitoring services.</t>
  </si>
  <si>
    <t>CompuNet Clinical Laboratories</t>
  </si>
  <si>
    <t>OH</t>
  </si>
  <si>
    <t>Ohio</t>
  </si>
  <si>
    <t>Other Portable Electronic Device</t>
  </si>
  <si>
    <t>The covered entity (CE), CompuNet Clinical Laboratories, reported that an autofill function on certain patient registration devices caused the protected health information (PHI) of 6,963 individuals to become viewable by others. The PHI involved included names and dates of birth. The CE notified HHS, the affected individuals, the media, and provided substitute notice. In response to the breach, the CE implemented additional administrative and technical safeguards to better protect PHI.</t>
  </si>
  <si>
    <t>The Epilepsy Foundation of Metro New York</t>
  </si>
  <si>
    <t>The covered entity (CE), The Epilepsy Foundation of Metro New York, reported that it experienced a cyber-attack that affected the protected health information (PHI) of 3,852 individuals. The PHI involved included names, addresses, dates of birth, Social Security numbers, and diagnoses. The CE notified HHS, affected individuals, the media, and posted substitute notice on its website. In response to the breach, the CE provided complimentary credit monitoring services and implemented additional administrative, technical, and security safeguards to better protect its PHI.</t>
  </si>
  <si>
    <t>Cattaraugus-Allegany Board of Cooperative Education Services</t>
  </si>
  <si>
    <t>The business associate (BA), Cattaraugus-Allegany Board of Cooperative Education Services, reported that it experienced a cybersecurity incident that affected the protected health information (PHI) of 15,203 individuals. The PHI involved included names, Social Security numbers, addresses, dates of birth, financial and claims information, diagnoses, and medications. The BA notified HHS, affected individuals, the media, and posted substitute notice on its website. In response to the breach, the BA provided complimentary credit monitoring services and implemented additional administrative, technical, and security safeguards to better protect PHI.</t>
  </si>
  <si>
    <t>Olive View-UCLA Medical Center</t>
  </si>
  <si>
    <t>The covered entity (CE), County of Los Angeles Department of Health Services ‚Äì Olive View‚ÄìMedical Center, reported that paper documents containing the protected health information (PHI) of 3,716 individuals were stolen during a burglary. The PHI involved included names, addresses, and financial and health insurance information. The CE notified HHS, the affected individuals, the media, and provided substitute notice. In response to the breach, the CE provided complimentary credit monitoring services and implemented additional administrative, technical, and security safeguards.</t>
  </si>
  <si>
    <t>Robert Peterson DDS, PC</t>
  </si>
  <si>
    <t>The covered entity (CE), Robert Peterson, DDS, reported that it experienced a breach when unauthorized individuals entered his office and accessed and, in some cases, stole the protected health information (PHI) of 6500 individuals. The PHI involved included names, Social Security numbers, addresses, drivers' license numbers, dates of birth, financial and claims information, diagnoses, lab results, medications, and other treatment information. The CE notified HHS, affected individuals, the media, and posted substitute notice on its website. In response to the breach, the CE provided complimentary credit monitoring services and implemented additional administrative, technical, and security safeguards to better protect its PHI.</t>
  </si>
  <si>
    <t>Rhode Island</t>
  </si>
  <si>
    <t>Designed Receivable Solutions, Inc.</t>
  </si>
  <si>
    <t>The covered entity (CE), Designed Receivable Solutions, reported that it suffered a cyber-attack that compromised the protected health information (PHI) of 585,035 individuals. The PHI involved included names, Social Security numbers, addresses, dates of birth, medications, and claims information. The CE notified HHS, the affected individuals, the media, and provided substitute notice. In response to the breach, the CE provided complimentary credit monitoring services and implemented additional administrative, technical, and security safeguards to better protect its PHI.</t>
  </si>
  <si>
    <t>Emergency Medical Services Authority</t>
  </si>
  <si>
    <t>OK</t>
  </si>
  <si>
    <t>The covered entity (CE), Emergency Medical Services Authority, reported that it was the subject of a ransomware attack that affected the protected health information (PHI) of 611,743 individuals. The PHI involved included names, addresses, dates of birth, Social Security numbers, and treatment information. The CE notified HHS, affected individuals, the media, and posted substitute notice on its website. In response to the breach, the CE provided complimentary credit monitoring services and implemented additional administrative, technical, and security safeguards. Staff were retrained to better protect PHI.</t>
  </si>
  <si>
    <t>North Dakota</t>
  </si>
  <si>
    <t>The covered entity (CE), County of Los Angeles Department of Mental Health, reported that an employee was the subject of an email phishing scheme that compromised protected health information (PHI) of 1,408 individuals. The PHI involved included names, addresses, dates of birth, Social Security numbers, and treatment information. The CE notified HHS, the affected individuals, the media, and provided substitute notice. In response to the breach, the CE provided complimentary credit monitoring services and implemented additional administrative, technical, and security safeguards. Staff were retrained on email security.</t>
  </si>
  <si>
    <t>Michigan</t>
  </si>
  <si>
    <t>Lakewood Medical Center, PC</t>
  </si>
  <si>
    <t>CO</t>
  </si>
  <si>
    <t>Kentucky</t>
  </si>
  <si>
    <t>Pomona Valley Hospital Medical Center</t>
  </si>
  <si>
    <t>The covered entity (CE), Pomona Valley Hospital Medical Center, reported that its business associate (BA) experienced a cybersecurity incident that affected the protected health information (PHI) of 13,516 individuals. The PHI involved included names, dates of birth, diagnoses, medications, and other treatment information. The CE notified HHS, affected individuals, and the media. In response to the breach, the CE implemented additional administrative and technical safeguards. The CE also discontinued its business relationship with the BA.</t>
  </si>
  <si>
    <t>Western New York Independent Living, Inc.</t>
  </si>
  <si>
    <t>The covered entity (CE), Western New York Independent Living, reported that it was the subject of a ransomware attack that affected the protected health information (PHI) of 2,886 individuals. The PHI involved included names, Social Security numbers, diagnoses, and other treatment information. The CE notified HHS, affected individuals, and the media. In response to the breach, the CE provided complimentary credit monitoring services and implemented additional administrative, technical, and security safeguards. Staff were retrained.</t>
  </si>
  <si>
    <t>Virginia</t>
  </si>
  <si>
    <t>RxBenefits, Inc.</t>
  </si>
  <si>
    <t>The business associate (BA), RxBenefits, reported that a workforce member mailed the protected health information (PHI) of 3,396 individuals to the wrong recipients. The PHI involved included names, addresses, health insurance information, and medication type. The BA notified HHS, affected individuals, the media, and provided substitute notice on its website. In response to the breach the BA retrained the workforce member on mail merge procedures and implemented quarterly privacy training to all staff. OCR provided technical assistance regarding the HIPAA Rules.</t>
  </si>
  <si>
    <t>The business associate (BA), Philips Respironics, reported that a software application used by its business associate (BA) exposed the protected health information (PHI) of 1,125 individuals. The PHI involved included names, dates of birth, addresses, and treatment information. The BA notified HHS, the affected individuals, the media, and posted substitute notice on its website. In response to the breach, the BA provided complimentary credit monitoring services and implemented additional administrative and technical safeguards to better protect PHI.</t>
  </si>
  <si>
    <t>Montana</t>
  </si>
  <si>
    <t>California Correctional Health Care Services</t>
  </si>
  <si>
    <t>The covered entity (CE), California Correctional Health Care Services, reported that one of its workforce members inadvertently sent an email containing the protected health information (PHI) of 1,348 individuals to an unintended recipient. The PHI involved included names, diagnoses, lab results, and other treatment information. The CE notified HHS, affected individuals and the media. In response to the breach, the CE implemented additional administrative, technical, and security safeguards, and retrained its workforce member to better protect PHI.</t>
  </si>
  <si>
    <t>West Virginia</t>
  </si>
  <si>
    <t>Healthfirst</t>
  </si>
  <si>
    <t>The covered entity (CE), Healthfirst, reported that it experienced a ransomware incident that affected the protected health information (PHI) of 6,836 individuals. The PHI involved included names, addresses, and dates of birth. The CE notified HHS, affected individuals, the media, and posted substitute notice on its website. In response to the breach, the CE offered free credit monitoring services and implemented additional administrative, technical, and security safeguards. Staff were also provided additional training in its requirements to protect and secure PHI.</t>
  </si>
  <si>
    <t>District of Columbia</t>
  </si>
  <si>
    <t>Newton Centre Dental</t>
  </si>
  <si>
    <t>Newton Centre Dental, the covered entity (CE), reported that an employee of its business associate was the subject of an email phishing scheme that compromised the protected health information (PHI) of 2,547 individuals. The PHI involved included names, addresses, dates of birth, drivers' license and Social Security numbers, diagnoses, claims and health insurance information, and other treatment information. In its mitigation efforts, the CE and BA implemented additional administrative and technical safeguards. Staff were retrained on email security precautions.</t>
  </si>
  <si>
    <t>Wyoming</t>
  </si>
  <si>
    <t>Blue Ridge Pediatric &amp; Adolescent Medicine, Inc.</t>
  </si>
  <si>
    <t>NC</t>
  </si>
  <si>
    <t>The covered entity (CE), Blue Ridge Pediatric &amp; Adolescent Medicine, reported that it experienced a cyber-attack that affected the protected health information (PHI) of 39,282 individuals. The PHI involved included names, addresses, dates of birth, Social Security numbers, and medical treatment information. The CE notified HHS, affected individuals, the media, and provided substitute notice. In its mitigation efforts, the CE provided complimentary credit monitoring services and implemented new administrative and technical safeguards. Staff were retrained.</t>
  </si>
  <si>
    <t>Gunster, Yoakley, &amp; Stewart, PA</t>
  </si>
  <si>
    <t>The business associate (BA), Gunster, Yoakley, &amp; Stewart, reported that it experienced a cyber-attack that compromised the protected health information (PHI) of 42,077 individuals. The PHI involved included names, addresses, dates of birth, drivers' license and Social Security numbers, claims information, diagnoses, lab results, and medications. The BA notified HHS, affected individuals, the media, and provided substitute notice on its website. In response to the breach, the CE provided complimentary credit monitoring services and implemented additional administrative, technical, and security safeguards.</t>
  </si>
  <si>
    <t>Jewish Home Lifecare, Inc.</t>
  </si>
  <si>
    <t>The covered entity (CE), Jewish Home Lifecare, reported that it experienced a ransomware incident that affected the protected health information (PHI) of 104,234 individuals. The PHI involved included names, addresses, dates of birth, Social Security numbers, claims information, diagnoses, and medications. The CE notified HHS, affected individuals, the media, and posted substitute notice on its website. In response to the breach, the CE offered free credit monitoring services and implemented additional administrative, technical, and security safeguards.</t>
  </si>
  <si>
    <t>New Mexico</t>
  </si>
  <si>
    <t>CDC Dental Management, Co., LLC dba Kids Care Dental &amp; Orthodontics</t>
  </si>
  <si>
    <t>CDC Dental Management dba Kids Care Dental &amp; Orthodontics, the covered entity (CE), reported that it experienced a ransomware attack that compromised the protected health information (PHI) of 1,286 individuals. The PHI involved included names, addresses, dates of birth, Social Security and drivers' license numbers, claims and financial information, medications, diagnoses, and additional treatment information. The CE notified HHS, affected individuals, the media, and posted substitute notice on its website. As a result of OCR's investigation, the CE implemented additional administrative and technical safeguards.</t>
  </si>
  <si>
    <t>BlueCross BlueShield of Tennessee, Inc. and Volunteer State Health Plan, Inc. d/b/a BlueCare Plus Tennessee</t>
  </si>
  <si>
    <t>The covered entity (CE), BlueCross BlueShield of Tennessee and Volunteer State Health Plan dba BlueCare Plus Tennessee, reported that it experienced a cyber-attack that compromised the protected health information (PHI) of 1,231 individuals. The PHI involved included names, dates of birth, addresses, claims and financial information, diagnoses, and other treatment information. The CE notified HHS, affected individuals, and the media. In its mitigation efforts, the CE implemented additional administrative and technical and security safeguards.</t>
  </si>
  <si>
    <t>South Carolina</t>
  </si>
  <si>
    <t>Orlando VA Medical Center</t>
  </si>
  <si>
    <t>The Orlando VA Medical Center, the covered entity (CE), reported that an employee emailed documents containing the protected health information (PHI) of 9,850 individuals to a personal email account. The PHI involved included names, addresses, telephone numbers, email addresses, Social Security numbers, and birthdates. The CE notified HHS, affected individuals, and the media. In its mitigation efforts, the CE provided complimentary credit monitoring services to affected individuals and obtained a court order requiring the safeguarding of PHI.</t>
  </si>
  <si>
    <t>Maine</t>
  </si>
  <si>
    <t>The business associate (BA), Philips Respironics, reported that a software application used by its business associate (BA) exposed the protected health information (PHI) of 457,152 individuals. The PHI involved included names, dates of birth, addresses, and treatment information. The BA notified HHS, the affected individuals, the media, and posted substitute notice on its website. In response to the breach, the BA provided complimentary credit monitoring services and implemented additional administrative and technical safeguards to better protect PHI.</t>
  </si>
  <si>
    <t>Alaska</t>
  </si>
  <si>
    <t>Yakima Valley Radiology, PC</t>
  </si>
  <si>
    <t>South Dakota</t>
  </si>
  <si>
    <t>DGA-Producer Pension &amp; Health Plans</t>
  </si>
  <si>
    <t>The covered entity (CE), DGA-Producer Pension &amp; Health Plans, reported that a software application used by its business associate (BA) exposed the protected health information (PHI) of 4,211 individuals. The PHI involved included names, Social Security numbers, and addresses. The CE notified HHS, the affected individuals, and the media. In response to the breach, the CE provided complimentary credit monitoring services and the CE and BA implemented additional administrative, technical, and security safeguards to better protect PHI.</t>
  </si>
  <si>
    <t>Vermont</t>
  </si>
  <si>
    <t>Kirkland &amp; Ellis LLP</t>
  </si>
  <si>
    <t>The business associate (BA), Kirkland &amp; Ellis, reported that a software application it used exposed the protected health information (PHI) of 48,802 individuals. The PHI involved included names, Social Security and drivers' license numbers, addresses, dates of birth, financial and claims information, diagnoses, lab results, medications, and other treatment information. The BA notified HHS, the affected individuals, the media, and provided substitute notice. In response to the breach, the BA provided complimentary credit monitoring services and implemented additional administrative and technical safeguards to better protect PHI.</t>
  </si>
  <si>
    <t>Unknown</t>
  </si>
  <si>
    <t>Eastern Radiologists, Inc</t>
  </si>
  <si>
    <t>The covered entity (CE), Eastern Radiologists, Inc., reported that it experienced a hacking incident that affected the protected health information (PHI) of 886,746 individuals. The PHI involved included names, Social Security numbers, addresses, dates of birth, diagnoses/conditions, lab results, and health insurance information. The CE notified HHS, affected individuals, the media, and posted substitute notice on its website. In response to the breach, the CE provided complimentary credit monitoring services and implemented additional administrative, technical, and security safeguards to better protect its PHI.</t>
  </si>
  <si>
    <t>Littleton Regional Healthcare</t>
  </si>
  <si>
    <t>The covered entity (CE), Littleton Regional Healthcare, reported that it inadvertently mailed the protected health information (PHI) of 12,614 individuals to the wrong recipient. The PHI involved included names and dates of birth. The CE notified HHS, affected individuals, and the media. In response to the breach, the CE implemented additional administrative and technical safeguards to better protect its PHI.</t>
  </si>
  <si>
    <t>Ohio Neurologic Institute</t>
  </si>
  <si>
    <t>Ohio Neurologic Institute, the covered entity (CE), reported that a password-protected desktop computer containing the protected health information (PHI) of 5,548 individuals was stolen from its clinic. The PHI involved included names, addresses, Social Security numbers, dates of birth, and health insurance and other treatment information. The CE notified HHS, affected individuals, the media, and local law enforcement. In its mitigation efforts, the CE implemented additional administrative and technical safeguards to secure its sensitive data. Of note, the CE ceased operations and is no longer providing healthcare services.</t>
  </si>
  <si>
    <t>Bay Area Anesthesia, LLC</t>
  </si>
  <si>
    <t>The covered entity (CE), Bay Area Anesthesia, reported that its business associate (BA) experienced a cyber-attack that affected the protected health information (PHI) of 15,196 individuals. The PHI involved included names, addresses, dates of birth, and Social Security numbers. The CE notified HHS, affected individuals, the media, and provided substitute notice. In response to the breach, the CE provided complimentary credit monitoring services and implemented additional administrative, technical, and security safeguards. Workforce members were retrained to better protect PHI.</t>
  </si>
  <si>
    <t>Bold Quail Holdings, LLC (NewGen Administrative Services, LLC)</t>
  </si>
  <si>
    <t>The covered entity (CE), Bold Quail Holdings, reported that was the victim of a cyber-attack that affected the protected health information (PHI) of 105,425 individuals. The PHI involved included names, addresses, dates of birth, Social Security and drivers' license numbers, diagnoses, lab results, medications, financial and claims information, and other treatment information. The CE notified HHS, the affected individuals, the media, and provided substitute notice. In response to the breach, the CE implemented additional administrative, technical, and security safeguards.</t>
  </si>
  <si>
    <t>Santa Clarita Community College District</t>
  </si>
  <si>
    <t>The covered entity (CE), Santa Clarita Community College District, reported that its business associate (BA) experienced a cyber-attack that affected the protected health information (PHI) of 2,324 individuals. The PHI involved included names, dates of birth, addresses, drivers' license and Social Security numbers, diagnoses/conditions, lab results, medications, and claims and other treatment information. The BA notified HHS, affected individuals, the media, and provided substitute notice. In response to the breach, the CE confirmed it is not a CE and the breach report should therefore not have been filed.</t>
  </si>
  <si>
    <t>CVS Caremark Part D Services, L.L.C. ("CVS")</t>
  </si>
  <si>
    <t>RI</t>
  </si>
  <si>
    <t>The business associate (BA), CVS Caremark Part D Services, reported that a workforce member inadvertently mailed the protected health information (PHI) of 11,193 individuals to the wrong recipients. The PHI involved included names, dates of birth, and health insurance information. The BA notified HHS, affected individuals, and the media. In response to the breach, the BA retrained the workforce member and reviewed and improved administrative safeguards.</t>
  </si>
  <si>
    <t>Washington County Hospital and Nursing Home</t>
  </si>
  <si>
    <t>The covered entity (CE), Washington County Hospital and Nursing Home, reported that it was the subject of a ransomware attack that affected the protected health information (PHI) of 29,346 individuals. The PHI involved included names, Social Security numbers, dates of birth, diagnoses/conditions, lab results, medications, and other treatment information. The CE notified HHS, the affected individuals, the media, and provided substitute notice. In response to the breach, the CE provided complimentary credit monitoring services and implemented additional administrative, technical, and security safeguards.</t>
  </si>
  <si>
    <t>The covered entity (CE), Maryville, reported that an employee was the subject of an email phishing scheme that compromised the protected health information (PHI) of 15,503 individuals. The PHI involved included names, addresses, dates of birth, Social Security numbers, diagnoses, and financial information. The CE notified HHS, affected individuals, the media, and posted substitute notice on its website. In response to the breach, the CE offered free credit monitoring services and established a call center for questions or concerns. The CE also strengthened its al administrative, technical, and security safeguards. Staff were retrained on email security precautions.</t>
  </si>
  <si>
    <t>East Carolina University's Brody School of Medicine, a member of the ECU Health affiliated covered entity</t>
  </si>
  <si>
    <t>The covered entity (CE), East Carolina University's Brody School of Medicine, reported that certain files on its network that contained the protected health information (PHI) of 19,085 individuals were inadvertently made accessible to its students, employees and certain East Carolina University Health clinicians. The PHI involved included names, birthdates, diagnoses, financial and claims information, and other treatment information. The CE notified HHS, the affected individuals, and the media. In response to the breach, the CE implemented additional administrative and technical safeguards to better protect PHI.</t>
  </si>
  <si>
    <t>Egyptian Health Department</t>
  </si>
  <si>
    <t>The covered entity (CE), Egyptian Health Department, reported that it experienced a ransomware incident that affected the protected health information (PHI) of 121,995 individuals. The PHI involved included names, addresses, dates of birth, Social Security numbers, diagnoses, medications, and other treatment information. The CE notified HHS, affected individuals, the media, and posted substitute notice on its website. In response to the breach, the CE offered identity theft protection services and implemented additional administrative and technical safeguards.</t>
  </si>
  <si>
    <t>Human Affairs International of California</t>
  </si>
  <si>
    <t>The covered entity (CE), Human Affairs International of California, reported that it experienced a programming issue which resulted in an employee mailing the protected health information (PHI) of 18,347 individuals to the wrong recipients. The PHI involved included names, dates of birth, addresses, diagnoses, claims and financial information, and other treatment information. The CE notified HHS, affected individuals, the media, and posted substitute notice on its website. In response to the breach, the CE provided complimentary credit monitoring services and implemented additional administrative, technical, and security safeguards. Staff were retrained on the requirements to protect and secure sensitive data.</t>
  </si>
  <si>
    <t>Dedicated Physicians Group of Texas, PLLC d/b/a Dedicated Senior Medical Center</t>
  </si>
  <si>
    <t>The covered entity (CE), Dedicated Physicians Group of Texas dba Dedicated Senior Medical Center, reported that an echocardiogram machine containing the protected health information (PHI) of 3,441 individuals was stolen from an employee's vehicle. The CE notified HHS, affected individuals, and the media. In its mitigation efforts, the CE implemented additional technical safeguards to better protect sensitive data. OCR provided technical assistance regarding the HIPAA Rules.</t>
  </si>
  <si>
    <t>CVS Pharmacy, Inc.</t>
  </si>
  <si>
    <t>The covered entity (CE), CVS Pharmacy, reported that an error on its website allowed the protected health information (PHI) of 1,896 individuals to be viewable by others. The PHI involved included names, addresses, and financial information. The CW notified HHS and the affected individuals. In response to the breach, the CE provided complimentary credit monitoring services and implemented additional administrative, technical, and security safeguards to better protect its PHI.</t>
  </si>
  <si>
    <t>Qualcomm Incorporated</t>
  </si>
  <si>
    <t>The covered entity (CE), Qualcomm, reported that a software application used by its business associate (BA) exposed the protected health information (PHI) of 4,102 individuals. The PHI involved included names, dates of birth, Social Security numbers, and health insurance information. The CE notified HHS, the affected individuals, and the media. In response to the breach, the BA implemented additional technical safeguards to better protect PHI.</t>
  </si>
  <si>
    <t>Erie Indemnity Company Group Dental Assistance Plan</t>
  </si>
  <si>
    <t>The covered entity (CE), Erie Indemnity Company Group Dental Assistance Plan, reported that a software application used by its business associate (BA) exposed the protected health information (PHI) of 3,123 individuals. The PHI involved included names, dates of birth, addresses, Social Security numbers, diagnoses, lab results, claims information, and other treatment information. The CE notified HHS, the affected individuals, and the media. In response to the breach, the BA implemented additional administrative and technical safeguards to better protect PHI.</t>
  </si>
  <si>
    <t>Coleman Professional Services Inc.</t>
  </si>
  <si>
    <t>The covered entity (CE), Coleman Professional Services, reported that several employees were the subjects of an email phishing incident which affected the protected health information (PHI) of 51,889 individuals. The PHI involved included names, addresses, dates of birth, drivers' license and Social Security numbers, financial and claims information, diagnoses, medications, and other treatment information. The CE notified HHS, affected individuals, the media, and posted substitute notice on its website. In response to the breach, the CE provided complimentary credit monitoring services and implemented additional administrative, technical, and security safeguards. Staff were retrained on email security.</t>
  </si>
  <si>
    <t>Prime Healthcare Employee Health Plan</t>
  </si>
  <si>
    <t>The covered entity (CE), Prime Healthcare Employee Health Plan, reported that its business associate (BA) experienced a cyber-attack that affected the protected health information (PHI) of 101,135 individuals. The PHI involved included names, dates of birth, addresses, drivers' license and Social Security numbers, diagnoses, and other treatment information. The CE notified HHS, affected individuals, and the media. In response to the breach, the BA provided individuals with free credit monitoring and implemented additional security safeguards.</t>
  </si>
  <si>
    <t>Forward Healthcare, LLC</t>
  </si>
  <si>
    <t>MD</t>
  </si>
  <si>
    <t>The covered entity (CE), Forward Healthcare, reported that its business associate (BA) experienced a cybersecurity incident that affected the protected health information (PHI) of 3,999 individuals. The PHI involved included names, addresses, dates of birth, and treatment information. The CE notified HHS and the affected individuals. In response to the breach, the CE provided complimentary credit monitoring services and implemented additional administrative, technical, and security safeguards to better protect its PHI.</t>
  </si>
  <si>
    <t>Medical Management Resource Group, L.L.C.</t>
  </si>
  <si>
    <t>The business associate (BA), Medical Management Resource Group, reported that it experienced a cyber-attack that affected the protected health information (PHI) of 2,264,157 individuals. The PHI involved included names, dates of birth, addresses, diagnoses, medications, and claims and financial information. The BA notified HHS, affected individuals, and the media. In response to the breach, the BA provided complimentary credit monitoring services and implemented new technical safeguards.</t>
  </si>
  <si>
    <t>Humana Inc.</t>
  </si>
  <si>
    <t>KY</t>
  </si>
  <si>
    <t>The covered entity (CE), Humana, reported that an employee inadvertently mailed the protected health information (PHI) of 6,440 individuals to the wrong recipients. The PHI involved included names, addresses, medications, and diagnoses. The CE notified HHS, affected individuals, and the media. In response to the breach, the CE implemented additional administrative, technical, and security safeguards to better protect its PHI.</t>
  </si>
  <si>
    <t>Health Alliance Medical Plans</t>
  </si>
  <si>
    <t>The covered entity (CE), Health Alliance Medical Plans, reported that a subcontractor of its business associate (BA) experienced a cyber-attack that compromised the protected health information (PHI) of 6,900 individuals. The PHI involved included names, addresses, birthdates, and Social Security numbers. The CE notified HHS, affected individuals, and the media. In its mitigation efforts, the CE terminated its business relationship with its BA.</t>
  </si>
  <si>
    <t>Saint Anthony Health Ministries</t>
  </si>
  <si>
    <t>Saint Anthony Health Ministries, the covered entity (CE), reported that it experienced a cyber-attack that compromised the protected health information (PHI) of 360,220 individuals. The PHI involved included names, addresses, telephone numbers, dates of birth, Social Security numbers, diagnoses, and health insurance information. The CE notified HHS, the affected individuals, the media, and posted substitute notice on its website. In an effort to prevent recurrence, the CE implemented updated administrative, technical, and security safeguards.</t>
  </si>
  <si>
    <t>Bay Area Heart Center, PA</t>
  </si>
  <si>
    <t>The covered entity (CE), Bay Area Heart Center, reported that an employee of its business associate (BA) was the subject of an email phishing attack that resulted in ransomware being installed on its computer systems. This breach affected the protected health information (PHI) of 11,709 individuals. The PHI involved included names, Social Security numbers, addresses, dates of birth, and claims information. The CE notified HHS, affected individuals, the media, and provided substitute notice. In response to the breach, the CE provided complimentary credit monitoring services and implemented additional administrative, technical, and security safeguards to better protect its PHI. Of note, the CE terminated its business relationship with the BA.</t>
  </si>
  <si>
    <t>Veterans Health Administration</t>
  </si>
  <si>
    <t>DC</t>
  </si>
  <si>
    <t>The covered entity (CE), the Veterans Health Administration (VHA), reported that an employee of its vendor mailed the protected health information (PHI) of 46,677 individuals to incorrect recipients. The PHI involved included names and treatment information. The CE notified HHS, the affected individuals, and the media. In response to the breach, the CE implemented additional administrative, technical, and security safeguards. Staff were retrained on the requirement to protect and secure sensitive data.</t>
  </si>
  <si>
    <t>OrthoArkansas, PA Employee Benefit Plan</t>
  </si>
  <si>
    <t>The covered entity (CE), OrthoArkansas Employee Benefit Plan, reported that a software application used by its business associate (BA) exposed the protected health information (PHI) of 1,270 individuals. The PHI involved included names, dates of birth, addresses, and medication information. The CE notified HHS, the affected individuals, and the media. In response to the breach, the implemented additional administrative, technical, and security safeguards to better protect its PHI.</t>
  </si>
  <si>
    <t>Sun Pain Management, LLC</t>
  </si>
  <si>
    <t>The covered entity (CE), Sun Pain Management, reported that it was the subject of a ransomware attack that affected the protected health information (PHI) of 2,988 individuals. The PHI involved included names, addresses, dates of birth, Social Security numbers, claims and financial information, diagnoses, lab results, medications, and other treatment information. The CE notified HHS, the affected individuals, and the media. In response to the breach, the CE provided complimentary credit monitoring services and implemented additional administrative, technical, and security safeguards to better protect its PHI.</t>
  </si>
  <si>
    <t>Artesia General Hospital</t>
  </si>
  <si>
    <t>NM</t>
  </si>
  <si>
    <t>Artesia General Hospital, the covered entity (CE), reported that one of its employees impermissibly stored documents containing the protected health information (PHI) of 2,931 individuals at his residence. The PHI involved included names, dates of birth, and diagnoses. The CE notified HHS, affected individuals, and the media. In its mitigation efforts, The CE revised its policies and procedures and retrained staff.</t>
  </si>
  <si>
    <t>Nabholz Construction Company Employee Welfare Health Plan</t>
  </si>
  <si>
    <t>The covered entity (CE), Nabholz Construction Company Employee Welfare Health Plan, reported that a software application used by its business associate (BA) exposed the protected health information (PHI) of 5,326 individuals. The PHI involved included names, dates of birth, addresses, Social Security numbers, medications, and other treatment information. The CE notified HHS, the affected individuals, and the media. In response to the breach, the CE and BA implemented additional administrative, technical, and security safeguards to better protect its PHI.</t>
  </si>
  <si>
    <t>United Regional Health Care System</t>
  </si>
  <si>
    <t>The covered entity (CE), United Regional Health Care System, reported that its business associate (BA) experienced a security vulnerability that affected the protected health information (PHI) of approximately 36,900 individuals. The PHI involved included names, addresses, dates of birth, and diagnoses. The CE notified HHS, affected individuals, and the media. In response to the breach, the CE provided complimentary credit monitoring services to the affected individuals.</t>
  </si>
  <si>
    <t>Webber Chiropractic Sports Clinic, Inc.</t>
  </si>
  <si>
    <t>Webber Chiropractic Sports Clinic, the covered entity (CE), reported that it experienced a ransomware attack that compromised the protected health information (PHI) of 1,695 individuals. The PHI involved included names, addresses, dates of birth, Social Security and drivers' license numbers, health insurance information, claims and financial information, medications, diagnoses, and additional treatment information. The CE notified HHS, affected individuals, the media, and posted substitute notice on its website. As a result of OCR's investigation, the CE implemented additional administrative, technical, and security safeguards to better protect its sensitive data.</t>
  </si>
  <si>
    <t>J.D. Gilmour &amp; Co., Inc.</t>
  </si>
  <si>
    <t>J.D. Gilmour &amp; Company, the business associate (BA), reported that an employee was the victim of an email phishing scheme that compromised the protected health information (PHI) of 2,570 individuals. The PHI involved included names, addresses, dates of birth, Social Security numbers, and health insurance information. The BA notified HHS, the affected individuals, the media, and posted substitute notice on its website. In its mitigation efforts, the BA implemented additional administrative, technical, and security safeguards to better protect its sensitive data. OCR provided technical assistance regarding the HIPAA Rules.</t>
  </si>
  <si>
    <t>The covered entity (CE), Humana, reported that an employee inadvertently mailed the protected health information (PHI) of 12,539 individuals to the wrong recipients. The PHI involved included names, addresses, medications, and diagnoses. The CE notified HHS, affected individuals, and the media. In response to the breach, the CE implemented additional administrative, technical, and security safeguards to better protect its PHI.</t>
  </si>
  <si>
    <t>Catholic Charities of the Archdiocese of Miami, Inc.</t>
  </si>
  <si>
    <t>The covered entity (CE), Catholic Charities of the Archdiocese of Miami, reported that it experienced a ransomware incident that affected the protected health information (PHI) of 1,170 individuals. The PHI involved included names, Social Security and drivers' license numbers, addresses, dates of birth, health insurance information, and other demographic information. The CE notified HHS, affected individuals, and the media. In response to the breach, the CE provided complimentary credit reporting services and implemented additional administrative, technical, and security safeguards. Staff were also retrained in its requirements to protect and secure PHI.</t>
  </si>
  <si>
    <t>Mount Vernon Dental Smiles</t>
  </si>
  <si>
    <t>VA</t>
  </si>
  <si>
    <t>Mount Vernon Dental Smiles, the covered entity (CE), reported that a workforce member inadvertently sent an email containing the protected health information (PHI) of 1,074 patients to an unauthorized individual. The PHI involved included names, dates of birth, addresses, email addresses, health insurance information, and other treatment information. The CE notified HHS, affected individuals, and the media. In its mitigation efforts, the CE strengthened its administrative safeguards to better protect sensitive data. OCR provided technical assistance regarding the HIPAA Rules.</t>
  </si>
  <si>
    <t>Columbus Regional Healthcare System</t>
  </si>
  <si>
    <t>Columbus Regional Medical Center, the covered entity (CE), reported that it was the subject of a ransomware attack that compromised the protected health information (PHI) of 132,887 individuals. The PHI involved included names, addresses, Social Security numbers, dates of birth, drivers' license and state identification numbers, passport numbers, diagnoses, financial and health insurance information, medications, and other treatment information. The CE notified HHS, affected individuals, and the media. In its mitigation efforts, the CE offered free credit monitoring services and implemented additional administrative and technical safeguards.</t>
  </si>
  <si>
    <t>Brady Martz &amp; Associates PC</t>
  </si>
  <si>
    <t>ND</t>
  </si>
  <si>
    <t>The business associate (BA), Brady Martz &amp; Associates reported that it experienced a ransomware attack that affected the protected health information (PHI) of 13,655 individuals. The PHI involved included names, addresses, dates of birth, Social Security numbers, diagnoses, and claims information. The BA notified HHS, the affected individuals, the media, and provided substitute notice. In response to the breach, the BA provided complimentary credit monitoring services and implemented additional administrative, technical, and security safeguards. Staff were retrained to better protect PHI.</t>
  </si>
  <si>
    <t>Colorado Ophthalmology Associates, PC</t>
  </si>
  <si>
    <t>The covered entity (CE), Colorado Ophthalmology Associates, reported that it was the subject of a ransomware attack that affected the protected health information (PHI) of 6,020 individuals. The PHI involved included names, addresses, dates of birth, Social Security numbers, diagnoses, medications, and other treatment information. The CE notified HHS, affected individuals, the media, and provided substitute notice. In response to the breach, the CE provided complimentary credit monitoring services and implemented additional administrative, technical, and security safeguards to better protect PHI.</t>
  </si>
  <si>
    <t>Lester and Rosalie Anixter Center</t>
  </si>
  <si>
    <t>The covered entity (CE), Lester and Rosalie Anixter Center, reported that multiple employee were the subjects of an email phishing scheme that affected the protected health information (PHI) of 6,194 individuals. The PHI involved included names, Social Security and drivers' license numbers, addresses, dates of birth, financial and claims information, diagnoses, and other treatment information. The CE notified HHS, the affected individuals, the media, and provided substitute notice. In response to the breach, the CE implemented additional administrative, technical, and security safeguards. Staff were retrained on email security.</t>
  </si>
  <si>
    <t>Pacific Cataract and Laser Institute, Inc., P.C.</t>
  </si>
  <si>
    <t>The covered entity (CE), Pacific Cataract and Laser Institute, reported that it experienced a cyber-attack that compromised the protected health information (PHI) of 9,967 individuals. The PHI involved included names, drivers' license numbers, dates of birth, diagnoses, lab results, and claims information. The CE notified HHS, affected individuals, the media, and provided substitute notice. In response to the breach, the CE provided complimentary credit monitoring services and implemented additional administrative, technical, and security safeguards to better protect its PHI.</t>
  </si>
  <si>
    <t>Summit Medical Group, PLLC</t>
  </si>
  <si>
    <t>The covered entity (CE), Summit Medical Group, reported that an employee was the subject of an email phishing scheme that compromised the protected health information (PHI) of 4,135 individuals. The PHI involved included names, patient identification numbers, birthdates, and health insurance and other treatment information. The CE notified HHS, affected individuals, the media, and provided substitute notice. In response to the breach, the CE sanctioned the workforce member involved and implemented additional administrative, technical, and security safeguards. Staff were retrained on email security precautions.</t>
  </si>
  <si>
    <t>Air Methods, LLC</t>
  </si>
  <si>
    <t>The covered entity (CE), Air Methods, reported that a laptop computer containing the protected health information (PHI) of 34,063 individuals was stolen from during a burglary. The PHI involved included names, addresses, dates of birth, Social Security numbers, diagnoses, medications, and claims and treatment information, The CE notified HHS, the affected individuals, the media, and provided substitute notice. In response to the breach, the CE provided complimentary credit monitoring services and implemented additional administrative, technical, and security safeguards to better protect PHI.</t>
  </si>
  <si>
    <t>Burr &amp; Forman LLP</t>
  </si>
  <si>
    <t>The business associate (BA), Burr &amp; Forman, reported that it experienced a ransomware incident that affected the protected health information (PHI) of 19,893 individuals. The PHI involved included names, dates of birth, Social Security numbers), claims and financial information, and treatment information. The BA notified HHS, affected individuals, the media, and posted substitute notice on its website. In response to the breach, the BA offered complimentary credit monitoring and identity protection services and implemented additional technical safeguards.</t>
  </si>
  <si>
    <t>Coastal Plains Community Mental Health Mental Retardation Center</t>
  </si>
  <si>
    <t>Sharp Health Plan</t>
  </si>
  <si>
    <t>The covered entity (CE), Sharp Health Plan, reported that an employee of its business associate (BA) inadvertently mailed the protected health information (PHI) of approximately 8,200 individuals to the wrong recipients. The PHI involved included names, addresses, and treatment information. The CE notified HHS, affected individuals, and the media. In response to the breach, the CE and BA strengthened its administrative and technical safeguards. OCR provided technical assistance regarding the HIPAA Rules.</t>
  </si>
  <si>
    <t>The covered entity (CE), Sharp Health Plan, reported that its business associate (BA) experienced a cyber-attack that affected the protected health information (PHI) of 9,255 individuals. The PHI involved included names, dates of birth, Social Security numbers, health insurance information, claims and financial information, and other treatment information. The CE notified HHS, affected individuals, and the media. In response to the breach, the BA implemented new administrative and technical safeguards.</t>
  </si>
  <si>
    <t>Dignity Health Nevada St. Rose Dominican Hospital</t>
  </si>
  <si>
    <t>The covered entity (CE), Dignity Health Nevada St. Rose Dominican Hospital, reported that its business associate experienced a cybersecurity attack that compromised the protected health information (PHI) of approximately 2,652 individuals. The PHI involved included names, addresses, dates of birth, drivers' license numbers, and diagnoses. The CE notified HHS, the affected individuals, the media, and provided substitute notice. OCR has initiated a compliance review of the business associate regarding this breach.</t>
  </si>
  <si>
    <t>The Harris Center for Mental Health and IDD</t>
  </si>
  <si>
    <t>The covered entity (CE), The Harris Center for Mental Health and IDD, reported that it was the subject of a ransomware attack that affected the protected health information (PHI) of 545,001 individuals. The PHI involved included names, Social Security numbers, addresses, drivers' license numbers, dates of birth, claims and financial information, diagnoses, medications, phone numbers, email addresses, health insurance information, and other treatment information. The CE notified HHS, the affected individuals, the media, and provided substitute notice. In response to the breach, the CE provided complimentary credit monitoring services and implemented additional administrative, technical, and security safeguards to better protect its PHI.</t>
  </si>
  <si>
    <t>The covered entity (CE), Veterans Health Administration, reported that its business associate (BA) mailed appointment reminder letters containing the protected health information (PHI) of 2,380 individuals to the wrong recipients. The PHI involved included names, addresses, and appointment information. The CE notified HHS, affected individuals, and the media. In response to the breach, the CE and BA implemented additional administrative safeguards to protect PHI.</t>
  </si>
  <si>
    <t>Morgan Stanley Health Benefits and Insurance Plan</t>
  </si>
  <si>
    <t>The covered entity (CE), Morgan Stanley Health Benefits and Insurance Plan, reported that a software application used by its business associate (BA) exposed the protected health information (PHI) of 2,442 individuals. The PHI involved included names, addresses, Social Security numbers, diagnoses, lab results, medications, and other treatment information. The CE notified HHS and the affected individuals. In response to the breach, the CE provided complimentary credit monitoring services and the CE and BA implemented additional administrative, technical, and security safeguards to better protect its PHI.</t>
  </si>
  <si>
    <t>Northern Inyo Healthcare District</t>
  </si>
  <si>
    <t>The covered entity (CE), Northern Inyo Healthcare District, reported that its business associate (BA) experienced a ransomware incident that affected the protected health information (PHI) of 1,305 individuals. The PHI involved included names, dates of birth, addresses, drivers' license and Social Security numbers, diagnoses, claims and financial information, and other treatment information. The CE notified HHS, affected individuals, and the media. In response to the breach, the BA implemented additional administrative and new technical safeguards.</t>
  </si>
  <si>
    <t>North Kansas City Hospital</t>
  </si>
  <si>
    <t>MO</t>
  </si>
  <si>
    <t>The covered entity (CE), North Kansas City Hospital, reported that its business associate (BA) experienced a cyber-attack that affected the protected health information (PHI) of 502,438 individuals. The PHI involved included names, dates of birth, addresses, claims information, diagnoses, and other treatment information. The CE notified HHS, affected individuals, and the media. In response to the breach, the CE terminated its business relationship with the BA and implemented additional administrative safeguards to better protect PHI.</t>
  </si>
  <si>
    <t>Keystone First</t>
  </si>
  <si>
    <t>The covered entity (CE), Keystone First, reported that a software application used by its business associate (BA) exposed the protected health information (PHI) of 1,965 individuals. The PHI involved included names, dates of birth, health insurance information, and other treatment information. The CE notified HHS, the affected individuals, and the media. In response to the breach, the CE provided complimentary credit monitoring services and the CE and BA implemented additional administrative, technical, and security safeguards to better protect its PHI.</t>
  </si>
  <si>
    <t>Pacific Pulmonary Medical Group</t>
  </si>
  <si>
    <t>Lifetime Psychiatry, LLC</t>
  </si>
  <si>
    <t>Tycon Medical Systems, Inc.</t>
  </si>
  <si>
    <t>Omaha Surgical Center</t>
  </si>
  <si>
    <t>NE</t>
  </si>
  <si>
    <t>Judge Baker Children’s Center dba The Baker Center for Children and Families</t>
  </si>
  <si>
    <t>Lexington Diagnostic Center</t>
  </si>
  <si>
    <t>Dignity Health Lassen Medical Clinic</t>
  </si>
  <si>
    <t>Khalil Foundation (DBA Khalil Center)</t>
  </si>
  <si>
    <t>Effortless Office Enterprises, LLC</t>
  </si>
  <si>
    <t>In-Home Attendant Services Ltd.</t>
  </si>
  <si>
    <t>HealthEquity, Inc.</t>
  </si>
  <si>
    <t>UT</t>
  </si>
  <si>
    <t>Kansas City Hospice, Inc</t>
  </si>
  <si>
    <t>Menorah Life, Inc.</t>
  </si>
  <si>
    <t>BCBS of TX</t>
  </si>
  <si>
    <t>Aetna ACE</t>
  </si>
  <si>
    <t>Alta Resources Corp.</t>
  </si>
  <si>
    <t>Richmond University Medical Center</t>
  </si>
  <si>
    <t>Cardiology Associates of Mobile</t>
  </si>
  <si>
    <t>Golden Age Home Health Inc.</t>
  </si>
  <si>
    <t>Ott Cone &amp; Redpath, P.A.</t>
  </si>
  <si>
    <t>Indiana University Health, Affiliated Covered Entity</t>
  </si>
  <si>
    <t>PracticeSuite, Inc.</t>
  </si>
  <si>
    <t>Regional Care, Inc.</t>
  </si>
  <si>
    <t>Teton Orthopaedics</t>
  </si>
  <si>
    <t>VisionPoint Eye Center, PLLC</t>
  </si>
  <si>
    <t>Brockton Neighborhood Health Center</t>
  </si>
  <si>
    <t>Northwest Asthma and Allergy Center</t>
  </si>
  <si>
    <t>ConnectOnCall.com, LLC</t>
  </si>
  <si>
    <t>El Paso Healthcare System, Ltd. d/b/a Las Palmas Del Sol Healthcare</t>
  </si>
  <si>
    <t>River Region Cardiology</t>
  </si>
  <si>
    <t>Rumpke Consolidated Companies, Inc. &amp; Affiliates Benefits Plan</t>
  </si>
  <si>
    <t>UT Southwestern Medical Center</t>
  </si>
  <si>
    <t>Center for Vein Restoration</t>
  </si>
  <si>
    <t>FC Compassus, LLC</t>
  </si>
  <si>
    <t>SAG-AFTRA Health Plan</t>
  </si>
  <si>
    <t>Atrium Health</t>
  </si>
  <si>
    <t>Jefferson Dental Center, Inc.</t>
  </si>
  <si>
    <t>Hardin County Emergency Medical Services</t>
  </si>
  <si>
    <t>Colonial Behavioral Health</t>
  </si>
  <si>
    <t>Continental Cafe Holdings, LLC Health Plan</t>
  </si>
  <si>
    <t>MI</t>
  </si>
  <si>
    <t>Texas Tech University Health Sciences Center El Paso</t>
  </si>
  <si>
    <t>Texas Tech University Health Sciences Center</t>
  </si>
  <si>
    <t>Citadel of Northbrook</t>
  </si>
  <si>
    <t>Electronic Medical Record, Network Server</t>
  </si>
  <si>
    <t>Pavilion of Bridgeview</t>
  </si>
  <si>
    <t>American Addiction Centers, Inc.</t>
  </si>
  <si>
    <t>Conceptions Reproductive Associates of Colorado</t>
  </si>
  <si>
    <t>Ardon Health, LLC (“Ardon”)</t>
  </si>
  <si>
    <t>Vann Virginia Center for Orthopaedics, PC dba Atlantic Orthopaedic Specialists</t>
  </si>
  <si>
    <t>East Paris Internal Medicine Associates, PC</t>
  </si>
  <si>
    <t>Pinnacle Claims Management</t>
  </si>
  <si>
    <t>East Central Missouri Behavioral Health Services, Inc.</t>
  </si>
  <si>
    <t>AuthoraCare Collective</t>
  </si>
  <si>
    <t>Athens County Bd of Dev. Disabilities</t>
  </si>
  <si>
    <t>The Arbors Operator, LLC</t>
  </si>
  <si>
    <t>Terrace of Hialeah</t>
  </si>
  <si>
    <t>Dolton Nursing &amp; Rehab, LLC</t>
  </si>
  <si>
    <t>Berkshire Nursing &amp; Rehab Center, LLC</t>
  </si>
  <si>
    <t>Aperion Care Marseilles, LLC</t>
  </si>
  <si>
    <t>Villa St. Francis Catholic Care Center</t>
  </si>
  <si>
    <t>Option Care Health</t>
  </si>
  <si>
    <t>HealthFund Solutions, LLC</t>
  </si>
  <si>
    <t>ESHA, Inc.</t>
  </si>
  <si>
    <t>Equinox, Inc.</t>
  </si>
  <si>
    <t>athenahealth, Inc.</t>
  </si>
  <si>
    <t>VPS of MI PLLC</t>
  </si>
  <si>
    <t>ASPEN HEALTHCARE SERVICES INC</t>
  </si>
  <si>
    <t>TriHealth H, LLC d/b/a TriHealth Physician Partners (“TriHealth”)</t>
  </si>
  <si>
    <t>Hopscotch Health Management, LLC</t>
  </si>
  <si>
    <t>Rocky Mountain Gastroenterology Associates PLLC</t>
  </si>
  <si>
    <t>Radiologic Medical Services, P.C.</t>
  </si>
  <si>
    <t>IA</t>
  </si>
  <si>
    <t>Familylinks Inc.</t>
  </si>
  <si>
    <t>United Seating and Mobility, LLC dba Numotion</t>
  </si>
  <si>
    <t>Mid-Minnesota Management Services d/b/a Central Resources</t>
  </si>
  <si>
    <t>Massachusetts Department of Developmental Services</t>
  </si>
  <si>
    <t>South West Family Medicine Associates, PA</t>
  </si>
  <si>
    <t>Great Plains Regional Medical Center</t>
  </si>
  <si>
    <t>MDLand International Corporation</t>
  </si>
  <si>
    <t>Oklahoma Spine Hospital</t>
  </si>
  <si>
    <t>Planned Parenthood of Montana</t>
  </si>
  <si>
    <t>MT</t>
  </si>
  <si>
    <t>Thompson Coburn LLP</t>
  </si>
  <si>
    <t>Embody Performance &amp; Recovery</t>
  </si>
  <si>
    <t>Mohawk Valley Cardiology, P.C.</t>
  </si>
  <si>
    <t>Mid-Ohio Psychological Services Inc.</t>
  </si>
  <si>
    <t>Brain &amp; Eye Connection Vision Clinic, PC</t>
  </si>
  <si>
    <t>Kaiser Foundation Hospitals</t>
  </si>
  <si>
    <t>Potomac Medical Aesthetics, LLC</t>
  </si>
  <si>
    <t>Rockford Gastroenterology Associates</t>
  </si>
  <si>
    <t>Family Medical Center</t>
  </si>
  <si>
    <t>BrightStar Care</t>
  </si>
  <si>
    <t>The Physical Medicine &amp; Rehabilitation Center, P.A.</t>
  </si>
  <si>
    <t>Mystic Valley Elder Services, CE</t>
  </si>
  <si>
    <t>Hawaii Radiologic Associates, Ltd.</t>
  </si>
  <si>
    <t>HI</t>
  </si>
  <si>
    <t>Easterseals Rehabilitation Center Evansville</t>
  </si>
  <si>
    <t>Quest Diagnostics Incorporated</t>
  </si>
  <si>
    <t>Southwest Colorado Mental Health Center, Inc. d/b/a Axis Health System</t>
  </si>
  <si>
    <t>Riverview Health</t>
  </si>
  <si>
    <t>GPS Sango Family Dentistry, PLLC d/b/a Sango Family Dentistry</t>
  </si>
  <si>
    <t>Desktop Computer, Laptop, Network Server</t>
  </si>
  <si>
    <t>Gandara Mental Health Center</t>
  </si>
  <si>
    <t>Northeast Spine and Sports Medicine, LLC</t>
  </si>
  <si>
    <t>Positive Behavior Supports Corporation</t>
  </si>
  <si>
    <t>Mystic Valley Elder Services - Business Associate</t>
  </si>
  <si>
    <t>Smiles in the Pines</t>
  </si>
  <si>
    <t>Desktop Computer, Electronic Medical Record, Email, Other Portable Electronic Device, Paper/Films</t>
  </si>
  <si>
    <t>Clay Platte Family Medicine</t>
  </si>
  <si>
    <t>Advanced Recovery Equipment &amp; Supplies, LLC</t>
  </si>
  <si>
    <t>Survival Flight, Inc.</t>
  </si>
  <si>
    <t>Detroit Wayne Integrated Health Network</t>
  </si>
  <si>
    <t>RRCA Accounts Management Inc.</t>
  </si>
  <si>
    <t>Desktop Computer, Network Server</t>
  </si>
  <si>
    <t>Summit Pathology and Summit Pathology Laboratories, Inc.</t>
  </si>
  <si>
    <t>Chicago Cardiology Institute</t>
  </si>
  <si>
    <t>Valleygate Dental Surgery Centers of Charlotte, Fayetteville, and the West, LLC.</t>
  </si>
  <si>
    <t>Jacksonville Children's Multispecialty Clinics/Atlantic Medical Management</t>
  </si>
  <si>
    <t>Sarah Bush Lincoln Fayette County Hospital</t>
  </si>
  <si>
    <t>Tri County Medical Supply And Respiratory Services Inc.</t>
  </si>
  <si>
    <t>OnePoint Patient Care</t>
  </si>
  <si>
    <t>Center for Urban Community Services</t>
  </si>
  <si>
    <t>Cheasapeake Regional Information System for our Patients, Inc. (CRISP)</t>
  </si>
  <si>
    <t>MiCare Health Center</t>
  </si>
  <si>
    <t>Gryphon Healthcare, LLC</t>
  </si>
  <si>
    <t>Tower Clock Eye Center</t>
  </si>
  <si>
    <t>Visionworks of America, Inc.</t>
  </si>
  <si>
    <t>Wellfleet Group, LLC</t>
  </si>
  <si>
    <t>DMEscripts, LLC</t>
  </si>
  <si>
    <t>TheraCom, L.L.C.</t>
  </si>
  <si>
    <t>Schneider Regional Medical Center</t>
  </si>
  <si>
    <t>Dohman, Akerlund &amp; Eddy</t>
  </si>
  <si>
    <t>University of Minnesota Board of Regents</t>
  </si>
  <si>
    <t>Ciox Health LLC, d/b/a Datavant Group</t>
  </si>
  <si>
    <t>ATSG, Inc</t>
  </si>
  <si>
    <t>Omni Family Health</t>
  </si>
  <si>
    <t>Dr. Daniel J. Leeman, M.D.</t>
  </si>
  <si>
    <t>Long Island Plastic Surgical Group, P.C.</t>
  </si>
  <si>
    <t>Seven Counties Services, Inc.</t>
  </si>
  <si>
    <t>Judge Rotenberg Educational Center</t>
  </si>
  <si>
    <t>Walgreen Co.</t>
  </si>
  <si>
    <t>Connally Memorial Medical Center</t>
  </si>
  <si>
    <t>Hafetz and Associates</t>
  </si>
  <si>
    <t>CF Medical</t>
  </si>
  <si>
    <t>Texas Spine Consultants, PLLC</t>
  </si>
  <si>
    <t>Community Clinic of Maui, Inc. dba Malama I Ke Ola Health Center</t>
  </si>
  <si>
    <t>University of Michigan/Michigan Medicine</t>
  </si>
  <si>
    <t>Prentke Romich Company dba PRC-Saltillo</t>
  </si>
  <si>
    <t>DAP Health, Inc.</t>
  </si>
  <si>
    <t>Holistix Treatment Center LLC d/b/a We Level Up Treatment Lake Worth</t>
  </si>
  <si>
    <t>Asheville Arthritis and Osteoporosis Center, P.A.</t>
  </si>
  <si>
    <t>Muskogee City County Enhanced 911 Trust Authority</t>
  </si>
  <si>
    <t>Jacobsen Construction Co., Inc. Health Plan</t>
  </si>
  <si>
    <t>Southern Bone &amp; Joint Specialists, PA (“Southern Bone”)</t>
  </si>
  <si>
    <t>MS</t>
  </si>
  <si>
    <t>ERLC LLC, d/b/a Elitecare Emergency Hospital</t>
  </si>
  <si>
    <t>JTaylor &amp; Associates LLC</t>
  </si>
  <si>
    <t>La Liga Puertorriquena Contra El Cancer DBA Hospital Oncológico</t>
  </si>
  <si>
    <t>Young Consulting LLC</t>
  </si>
  <si>
    <t>Local 1964 ILA Health &amp; Insurance Fund</t>
  </si>
  <si>
    <t>Richland County, WI</t>
  </si>
  <si>
    <t>oficina medica</t>
  </si>
  <si>
    <t>Desktop Computer, Other Portable Electronic Device</t>
  </si>
  <si>
    <t>Centers for Medicare &amp; Medicaid Services</t>
  </si>
  <si>
    <t>Seneca Nation Health System</t>
  </si>
  <si>
    <t>Guam Seventh-Day Adventist Clinic</t>
  </si>
  <si>
    <t>Project Hospitality</t>
  </si>
  <si>
    <t>Premier Health Family Care – North and Premier Health Family Care of Vandalia</t>
  </si>
  <si>
    <t>United Way of Connecticut, Inc.</t>
  </si>
  <si>
    <t>Washoe County School District</t>
  </si>
  <si>
    <t>Baptist Health Medical Center Drew County</t>
  </si>
  <si>
    <t>Catholic Charities CYO of The Archdiocese of San Francisco</t>
  </si>
  <si>
    <t>Minnesota Department of Human Services</t>
  </si>
  <si>
    <t>Illinois Bone &amp; Joint Institute, LLC</t>
  </si>
  <si>
    <t>Goodwin Living Incorporated</t>
  </si>
  <si>
    <t>CBIZ Benefits &amp; Insurance Services, Inc.</t>
  </si>
  <si>
    <t>CODAC Inc dba CODAC Behavioral Health and CODAC Healthcare, LLC</t>
  </si>
  <si>
    <t>Roper St. Francis Healthcare</t>
  </si>
  <si>
    <t>SC</t>
  </si>
  <si>
    <t>Compass Healthcare &amp; Rehab Rowan LLC</t>
  </si>
  <si>
    <t>Florida Department of Health</t>
  </si>
  <si>
    <t>Pomona Community Health Center dba ParkTree Community Health Center</t>
  </si>
  <si>
    <t>Excelsior Orthopaedics, LLC</t>
  </si>
  <si>
    <t>VeriSource Services, Inc.</t>
  </si>
  <si>
    <t>Acadian Ambulance Service, Inc.</t>
  </si>
  <si>
    <t>LA</t>
  </si>
  <si>
    <t>Contents Trader, Inc.</t>
  </si>
  <si>
    <t>Advanced Medical Management, LLC</t>
  </si>
  <si>
    <t>Connecticut GI, PLLC</t>
  </si>
  <si>
    <t>Mid-Columbia Center for Living</t>
  </si>
  <si>
    <t>HAH Group Holding Company, LLC d/b/a “Help At Home"</t>
  </si>
  <si>
    <t>Kerber, Eck &amp; Braeckel LLP</t>
  </si>
  <si>
    <t>Specialty Networks, Inc.</t>
  </si>
  <si>
    <t>Carespring Health Care Management LLC</t>
  </si>
  <si>
    <t>Fairfield Memorial Hospital Association</t>
  </si>
  <si>
    <t>United Urology Group</t>
  </si>
  <si>
    <t>Monte Nido</t>
  </si>
  <si>
    <t>Gramercy Surgery Center, Inc.</t>
  </si>
  <si>
    <t>Dental Specialists of Minnesota, PLLC dba The Dental Specialists</t>
  </si>
  <si>
    <t>The Facial Pain Center, PLLC dba The Facial Pain Center</t>
  </si>
  <si>
    <t>PDG, P.A. dba Park Dental</t>
  </si>
  <si>
    <t>Pemiscot Memorial Health System</t>
  </si>
  <si>
    <t>PG Dental d/b/a Aire Dental Arts</t>
  </si>
  <si>
    <t>Harborview Oral &amp; Facial Surgery Center</t>
  </si>
  <si>
    <t>Internal Medicine Associates, LLC d/b/a Gastrointestinal Medicine Associates</t>
  </si>
  <si>
    <t>Pocahontas Medical Clinic, PA</t>
  </si>
  <si>
    <t>Hamilton-Madison House</t>
  </si>
  <si>
    <t>Calibrated Healthcare, LLC</t>
  </si>
  <si>
    <t>Alabama Cardiovascular Group</t>
  </si>
  <si>
    <t>Wayne Memorial Hospital</t>
  </si>
  <si>
    <t>Fraser Child and Family Center</t>
  </si>
  <si>
    <t>Deer Oaks Behavioral Health</t>
  </si>
  <si>
    <t>Advantage Orthopedic &amp; Sports Medicine, LLP</t>
  </si>
  <si>
    <t>United of Omaha Life Insurance Company</t>
  </si>
  <si>
    <t>University of Alabama at Birmingham School of Nursing</t>
  </si>
  <si>
    <t>South Western Communications, Inc.</t>
  </si>
  <si>
    <t>Surgery Center of Mid Florida</t>
  </si>
  <si>
    <t>AMERICAN CLINICAL SOLUTIONS, LLC</t>
  </si>
  <si>
    <t>Sutton Dental Arts</t>
  </si>
  <si>
    <t>Barrett Eye Care</t>
  </si>
  <si>
    <t>Sun City Pediatrics, PA</t>
  </si>
  <si>
    <t>Change Healthcare, Inc.</t>
  </si>
  <si>
    <t>The North Cottage Program</t>
  </si>
  <si>
    <t>Fairfax Radiological Consultants</t>
  </si>
  <si>
    <t>New Jersey Oral &amp; Maxillofacial Surgery</t>
  </si>
  <si>
    <t>Meridian Internal Medicine, P.A.</t>
  </si>
  <si>
    <t>Smith, Gambrell &amp; Russell LLP</t>
  </si>
  <si>
    <t>The Medibase Group, Inc.</t>
  </si>
  <si>
    <t>Butler Health Plan, SW Division of OHI</t>
  </si>
  <si>
    <t>School Employees' Benefit Trust</t>
  </si>
  <si>
    <t>Ascension Health</t>
  </si>
  <si>
    <t>Patented Acquisition Corporation</t>
  </si>
  <si>
    <t>Aultman Hospital</t>
  </si>
  <si>
    <t>DaVita Inc.</t>
  </si>
  <si>
    <t>Atlanta Perinatal Consultants, LLP</t>
  </si>
  <si>
    <t>Regional Obstetrical Consultants PC</t>
  </si>
  <si>
    <t>Core Dental Health</t>
  </si>
  <si>
    <t>Email, Network Server</t>
  </si>
  <si>
    <t>Human Technology Inc., and its affiliates</t>
  </si>
  <si>
    <t>Georgia Kidney Associates, Inc.</t>
  </si>
  <si>
    <t>Ann &amp; Robert H. Lurie Children's Hospital of Chicago</t>
  </si>
  <si>
    <t>Mayfield Dental Arts LLC</t>
  </si>
  <si>
    <t>Providence Mission Heritage Endocrinology</t>
  </si>
  <si>
    <t>Kairos Health Arizona, Inc.</t>
  </si>
  <si>
    <t>Geisinger</t>
  </si>
  <si>
    <t>Altoona Logan Township Mobile Medical Emergency Department Authority</t>
  </si>
  <si>
    <t>Texas Retina Associates</t>
  </si>
  <si>
    <t>The Lash Group, LLC</t>
  </si>
  <si>
    <t>Wisconsin Department of Health Services</t>
  </si>
  <si>
    <t>County of Los Angeles Department of Health Services</t>
  </si>
  <si>
    <t>Access Sports Medicine &amp; Orthopaedics</t>
  </si>
  <si>
    <t>Carroll County Memorial Hospital</t>
  </si>
  <si>
    <t>Radiology and Imaging Specialists</t>
  </si>
  <si>
    <t>OB GYN Specialists of Lima Inc</t>
  </si>
  <si>
    <t>Neurobehavioral Medicine Consultants, P.C.</t>
  </si>
  <si>
    <t>Walmart Inc.</t>
  </si>
  <si>
    <t>Consulting Radiologists LTD.</t>
  </si>
  <si>
    <t>Aptihealth, Inc.</t>
  </si>
  <si>
    <t>IBEW LOCAL 236 WELFARE FUND</t>
  </si>
  <si>
    <t>WAREHOUSE EMPLOYEES LOCAL 169 CONTRIBUTING EMPLOYERS HEALTH &amp; WELFARE FUND</t>
  </si>
  <si>
    <t>Signature Performance, Inc.</t>
  </si>
  <si>
    <t>CRG Lynwood, LLC, d/b/a Lynwood Manor</t>
  </si>
  <si>
    <t>Community Alliance Rehabilitation Services</t>
  </si>
  <si>
    <t>Best Health Physical Therapy, LLC</t>
  </si>
  <si>
    <t>Network Server, Other</t>
  </si>
  <si>
    <t>Insurance ACE/Humana Inc.</t>
  </si>
  <si>
    <t>Panorama Eyecare</t>
  </si>
  <si>
    <t>Financial Business and Consumer Solutions, Inc.</t>
  </si>
  <si>
    <t>Wilson &amp; Company, Inc., Engineers &amp; Architects Health and Welfare Benefit Plan</t>
  </si>
  <si>
    <t>AmerisourceBergen Specialty Group, LLC</t>
  </si>
  <si>
    <t>Florida Digestive Health Specialists, LLP</t>
  </si>
  <si>
    <t>iCircle Services of the Finger Lakes, Inc.</t>
  </si>
  <si>
    <t>Montefiore Einstein Advance Care</t>
  </si>
  <si>
    <t>A&amp;A Services d/b/a Sav-Rx</t>
  </si>
  <si>
    <t>Tri-City Healthcare District</t>
  </si>
  <si>
    <t>Trionfo Solutions, LLC</t>
  </si>
  <si>
    <t>Multnomah County Health Department</t>
  </si>
  <si>
    <t>Omni Healthcare Financial Holdings</t>
  </si>
  <si>
    <t>El Centro Del Barrio d/b/a CentroMed</t>
  </si>
  <si>
    <t>Victoria Eye Center/Victoria Surgery Center/Victoria Vision Center</t>
  </si>
  <si>
    <t>Brockton Area Multi Services, Inc.</t>
  </si>
  <si>
    <t>Pope &amp; Conner Consulting, Inc.</t>
  </si>
  <si>
    <t>Tobii Dynavox</t>
  </si>
  <si>
    <t>Hypertension-Nephrology Associates, P.C.</t>
  </si>
  <si>
    <t>Badalamenti-Ferlito Orthodontics</t>
  </si>
  <si>
    <t>Superior Air-Ground Ambulance Service, Inc.</t>
  </si>
  <si>
    <t>Texas Panhandle Centers</t>
  </si>
  <si>
    <t>WebTPA Employer Services, LLC (“WebTPA”)</t>
  </si>
  <si>
    <t>1st Choice Home Care</t>
  </si>
  <si>
    <t>Winter Haven Hospital</t>
  </si>
  <si>
    <t>Delta Specialty Hospital</t>
  </si>
  <si>
    <t>Watson Clinic</t>
  </si>
  <si>
    <t>MedStar Health, Inc.</t>
  </si>
  <si>
    <t>United Seating and Mobility, L.L.C., d/b/a Numotion</t>
  </si>
  <si>
    <t>UnitedHealthcare Insurance Company</t>
  </si>
  <si>
    <t>Signature Healthcare Services LLC</t>
  </si>
  <si>
    <t>Guardant Health, Inc.</t>
  </si>
  <si>
    <t>LivaNova USA, Inc.</t>
  </si>
  <si>
    <t>Forefront Dermatology, S.C. d/b/a Premier Dermatology</t>
  </si>
  <si>
    <t>Aspire Health Alliance</t>
  </si>
  <si>
    <t>Justice Resource Institute</t>
  </si>
  <si>
    <t>Empath-Stratum Inc. doing business as  Empath Health</t>
  </si>
  <si>
    <t>County of Los Angeles Departments of Health Services and Public Health</t>
  </si>
  <si>
    <t>Kootenai Health</t>
  </si>
  <si>
    <t>ID</t>
  </si>
  <si>
    <t>NorthBay Healthcare Corporation</t>
  </si>
  <si>
    <t>Cape Fear Aesthetics</t>
  </si>
  <si>
    <t>Blackstone Valley Community Health Care</t>
  </si>
  <si>
    <t>The Prudential Insurance Company of America</t>
  </si>
  <si>
    <t>South Texas Oncology and Hematology, PLLC</t>
  </si>
  <si>
    <t>Cumberland Heights Foundation, Inc.</t>
  </si>
  <si>
    <t>Bridgeway Center, Inc.</t>
  </si>
  <si>
    <t>Montgomery County Board of Developmental Disabilities Services</t>
  </si>
  <si>
    <t>Hospice of the Bluegrass, Inc. dba Bluegrass Care Navigators</t>
  </si>
  <si>
    <t>Orthopedic and Fracture Clinic dba West Idaho Orthopedics and Sports Medicine</t>
  </si>
  <si>
    <t>Kaiser Foundation Health Plan, Inc.</t>
  </si>
  <si>
    <t>Spurwink Services, Inc.</t>
  </si>
  <si>
    <t>Knowles Smith &amp; Associates, d/b/a Village Family Dental</t>
  </si>
  <si>
    <t>Group Health Cooperative of South Central Wisconsin</t>
  </si>
  <si>
    <t>Island Ambulatory Surgery Center, LLC</t>
  </si>
  <si>
    <t>Gaia Software, LLC</t>
  </si>
  <si>
    <t>Politzer and Durocher, PLC d/b/a Optometric Physicians of Middle Tennessee</t>
  </si>
  <si>
    <t>UNC Hospitals</t>
  </si>
  <si>
    <t>Advanced Care Hospital of Montana</t>
  </si>
  <si>
    <t>Continuum Health Alliance, LLC</t>
  </si>
  <si>
    <t>University of Tennessee Health Science Center</t>
  </si>
  <si>
    <t>Otolaryngology Associates, LLC</t>
  </si>
  <si>
    <t>Northern Virginia Oral, Maxillofacial &amp; Implant Surgery</t>
  </si>
  <si>
    <t>PRATT MRI LLC</t>
  </si>
  <si>
    <t>Delta Health System</t>
  </si>
  <si>
    <t>South Texas Rehabilitation Hospital</t>
  </si>
  <si>
    <t>Rehabilitation Hospital of Northern Indiana</t>
  </si>
  <si>
    <t>Rehabilitation Hospital of Northern Arizona</t>
  </si>
  <si>
    <t>Mesquite Rehabilitation Institute</t>
  </si>
  <si>
    <t>Northern Utah Rehabilitation Hospital</t>
  </si>
  <si>
    <t>Northern Idaho Advanced Care Hospital</t>
  </si>
  <si>
    <t>Mesquite Specialty Hospital</t>
  </si>
  <si>
    <t>Laredo Specialty Hospital</t>
  </si>
  <si>
    <t>Laredo Rehabilitation Hospital</t>
  </si>
  <si>
    <t>Elkhorn Valley Rehabilitation Hospital</t>
  </si>
  <si>
    <t>WY</t>
  </si>
  <si>
    <t>Spartanburg Rehabilitation Institute</t>
  </si>
  <si>
    <t>Weslaco Regional Rehabilitation Hospital</t>
  </si>
  <si>
    <t>Utah Valley Rehabilitation Hospital</t>
  </si>
  <si>
    <t>Trustpoint Rehabilitation Hospital of Lubbock</t>
  </si>
  <si>
    <t>Summa Rehabilitation Hospital</t>
  </si>
  <si>
    <t>Bloomington Regional Rehabilitation Hospital</t>
  </si>
  <si>
    <t>Rehabilitation Hospital of the Northwest</t>
  </si>
  <si>
    <t>Rehabilitation Hospital of Southern New Mexico</t>
  </si>
  <si>
    <t>Rehabilitation Hospital of Northwest Ohio</t>
  </si>
  <si>
    <t>Northern Colorado Long Term Acute Hospital</t>
  </si>
  <si>
    <t>New Braunfels Regional Rehabilitation Hospital</t>
  </si>
  <si>
    <t>Mountain Valley Regional Rehabilitation Hospital</t>
  </si>
  <si>
    <t>Advanced Care Hospital of Southern New Mexico</t>
  </si>
  <si>
    <t>Midlands Regional Rehabilitation Hospital</t>
  </si>
  <si>
    <t>Lafayette Regional Rehabilitation Hospital</t>
  </si>
  <si>
    <t>Greenwood Regional Rehabilitation Hospital</t>
  </si>
  <si>
    <t>Corpus Christi Rehabilitation Hospital</t>
  </si>
  <si>
    <t>Highmark</t>
  </si>
  <si>
    <t>Florida Pediatric Associates, LLC</t>
  </si>
  <si>
    <t>Strive Holdco, LLC</t>
  </si>
  <si>
    <t>Risas Dental &amp; Braces</t>
  </si>
  <si>
    <t>Washington County Department of Human Services</t>
  </si>
  <si>
    <t>Baytown Medical Center, L.P.</t>
  </si>
  <si>
    <t>Pembina County Memorial Hospital</t>
  </si>
  <si>
    <t>Family Health Center</t>
  </si>
  <si>
    <t>Mary H. Makhlouf, DMD, MS, PA</t>
  </si>
  <si>
    <t>Ethos, also known as Southwest Boston Senior Services</t>
  </si>
  <si>
    <t>M&amp;D Capital Premier Billing LLC</t>
  </si>
  <si>
    <t>Battle Mountain General Hospital</t>
  </si>
  <si>
    <t>Ezras Choilim Health Center, Inc.</t>
  </si>
  <si>
    <t>Valley Oaks Health</t>
  </si>
  <si>
    <t>Sycamore Rehabilitation Services, Inc.</t>
  </si>
  <si>
    <t>Weirton Medical Center</t>
  </si>
  <si>
    <t>WV</t>
  </si>
  <si>
    <t>Aveanna Healthcare</t>
  </si>
  <si>
    <t>Bronson Healthcare Group</t>
  </si>
  <si>
    <t>Plymouth Tube Company Employee Benefit Plan</t>
  </si>
  <si>
    <t>A5 PHARMACY INC.</t>
  </si>
  <si>
    <t>CCM Health</t>
  </si>
  <si>
    <t>R1 RCM Inc.</t>
  </si>
  <si>
    <t>Texas Health and Human Services</t>
  </si>
  <si>
    <t>Rancho Family Medical Group, Inc.</t>
  </si>
  <si>
    <t>Access TeleCare</t>
  </si>
  <si>
    <t>UC San Diego Health Hillcrest- Hillcrest Medical Center</t>
  </si>
  <si>
    <t>Orsini Pharmaceutical Services, LLC</t>
  </si>
  <si>
    <t>Dental Group of Amarillo</t>
  </si>
  <si>
    <t>Orthopedic Associates of Flower Mound PLLC</t>
  </si>
  <si>
    <t>University of Wisconsin Hospitals and Clinics Authority</t>
  </si>
  <si>
    <t>Vail Summit Orthopaedics, LLC (“VSON”)</t>
  </si>
  <si>
    <t>Bay Surgical Specialists, LLC</t>
  </si>
  <si>
    <t>Cherry Street Services, Inc. d/b/a Cherry Health</t>
  </si>
  <si>
    <t>Highland Health Systems</t>
  </si>
  <si>
    <t>Ada Technologies, Inc.</t>
  </si>
  <si>
    <t>kmj Health Solutions</t>
  </si>
  <si>
    <t>Northeast Orthopedics and Sports Medicine, PLLC</t>
  </si>
  <si>
    <t>Scurry County Hospital District dba Cogdell Memorial Hospital</t>
  </si>
  <si>
    <t>MedQ, Inc.</t>
  </si>
  <si>
    <t>UNITE HERE</t>
  </si>
  <si>
    <t>OrthopedicsNY, LLP</t>
  </si>
  <si>
    <t>Prague Regional Memorial Hospital</t>
  </si>
  <si>
    <t>Lamont Hanley &amp; Associates, Inc.</t>
  </si>
  <si>
    <t>interventional Pain and Regenerative Medicine</t>
  </si>
  <si>
    <t>Anna Jaques Hospital a member of Beth Israel Health Incorporated</t>
  </si>
  <si>
    <t>McKenzie County Healthcare System, Inc.</t>
  </si>
  <si>
    <t>Hospice of Huntington</t>
  </si>
  <si>
    <t>CareFirst BlueCross BlueShield Community Health Plan – District of Columbia</t>
  </si>
  <si>
    <t>Mental Health Center of North Central Alabama, Inc.</t>
  </si>
  <si>
    <t>Employee Benefits Corporation of America and Benefit Design Group, Inc.</t>
  </si>
  <si>
    <t>Amin Radiology d/b/a Citrus Diagnostic Center</t>
  </si>
  <si>
    <t>Lena Pope Home Inc.</t>
  </si>
  <si>
    <t>North Hill Needham, Inc., North Hill Home Health Care, Inc. and North Hill Employee Dental Plan</t>
  </si>
  <si>
    <t>City of Dubuque Fire Department</t>
  </si>
  <si>
    <t>Biomatrix Specialty Pharmacy, LLC</t>
  </si>
  <si>
    <t>Lexington Health, Inc.</t>
  </si>
  <si>
    <t>Email, Other</t>
  </si>
  <si>
    <t>May Institute</t>
  </si>
  <si>
    <t>AGC Flat Glass North America, Inc. Welfare Benefits Plan</t>
  </si>
  <si>
    <t>Tiegerman</t>
  </si>
  <si>
    <t>CBIZ Marks Paneth, LLC</t>
  </si>
  <si>
    <t>Electronic Medical Record, Network Server, Other</t>
  </si>
  <si>
    <t>Greater Cincinnati Behavioral Health Services</t>
  </si>
  <si>
    <t>Bloom Health Centers</t>
  </si>
  <si>
    <t>CNO ACE</t>
  </si>
  <si>
    <t>INTEGRIS Health</t>
  </si>
  <si>
    <t>PruittHealth, Inc.</t>
  </si>
  <si>
    <t>Marian Village Corporation, d/b/a/ Marywood Nursing Care Center (“Marywood”)</t>
  </si>
  <si>
    <t>Des Moines Orthopaedic Surgeons, P.C.</t>
  </si>
  <si>
    <t>Coastal Hospice &amp; Palliative Care</t>
  </si>
  <si>
    <t>AHS Management Company, Inc.</t>
  </si>
  <si>
    <t>Omaha Firefighters Healthcare Trust</t>
  </si>
  <si>
    <t>Native American Health Center</t>
  </si>
  <si>
    <t>TGI Direct</t>
  </si>
  <si>
    <t>Dickinson County Health Department</t>
  </si>
  <si>
    <t>CR Pharmacy Services, Inc. d/b/a CarePro</t>
  </si>
  <si>
    <t>HORNE, LLP</t>
  </si>
  <si>
    <t>Azura Vascular Care</t>
  </si>
  <si>
    <t>Family Healthcare Center</t>
  </si>
  <si>
    <t>Hampton-Newport News Community Services Board</t>
  </si>
  <si>
    <t>InHealth Technologies</t>
  </si>
  <si>
    <t>Concentra Health Services, Inc.</t>
  </si>
  <si>
    <t>Psychological Holdings, PLLC d/b/a Senior PsychCare</t>
  </si>
  <si>
    <t>Tampa Bay Surgical Group</t>
  </si>
  <si>
    <t>Cooper Clinic, P.A.</t>
  </si>
  <si>
    <t>Fincantieri Marine Group, LLC</t>
  </si>
  <si>
    <t>ConsensioHealth, LLC</t>
  </si>
  <si>
    <t>Amerigroup Iowa, Inc</t>
  </si>
  <si>
    <t>Midwest Long Term Care Services DBA Senior Scripts</t>
  </si>
  <si>
    <t>Community Tri-County Healthcare</t>
  </si>
  <si>
    <t>Transformative Healthcare, on behalf of Fallon Ambulance Services</t>
  </si>
  <si>
    <t>Fallon Ambulance Services (Fallon), a former subsidiary of Transformative Healthcare, the covered entity (CE), reported that it experienced a ransomware attack that compromised the protected health information (PHI) of 911,757 individuals. The PHI involved included names, addresses, birthdates, drivers' license and Social Security numbers, diagnoses, lab results, medications, and claims and other treatment information. The CE notified HHS, affected individuals, the media, and provided substitute notice. In its mitigation efforts, the CE provided complimentary identity protection services to affected individuals. Fallon ceased medical transportation operations; therefore, OCR closed the case.</t>
  </si>
  <si>
    <t>HMG Healthcare, LLC</t>
  </si>
  <si>
    <t>The covered entity (CE), HMG Healthcare, reported that it was the subject of a ransomware attack that affected the protected health information (PHI) of 80,000 individuals. The PHI involved included names, dates of birth, Social Security and drivers' license numbers, addresses, claims and financial information, diagnoses, lab results, medications, and other treatment information. The CE notified HHS, affected individuals, the media, and posted substitute notice on its website. In response to the breach, the CE implemented additional administrative, technical, and security safeguards to better protect its PHI.</t>
  </si>
  <si>
    <t>EDI Health Group dba DentalXChange</t>
  </si>
  <si>
    <t>EDI Health Group dba DentalXChange, the covered entity (CE), reported that it experienced a cyber-attack that compromised the protected health information (PHI) of 2,574 individuals. The PHI included names, dates of birth, addresses, claims information, diagnoses, and other treatment information. The CE notified HHS, affected individuals, and the media. In its mitigation efforts, the CE provided complimentary credit monitoring services and implemented additional administrative, technical, and security safeguards to better protect its PHI. OCR provided technical assistance regarding the HIPAA Rules.</t>
  </si>
  <si>
    <t>Fred Hutchinson Cancer Center</t>
  </si>
  <si>
    <t>The covered entity (CE), Fred Hutchinson Cancer Center, reported that a laptop containing the protected health information (PHI) of 20,192 individuals was lost or stolen from an employee during travel. The PHI involved included names, addresses, dates of birth, Social Security numbers, diagnoses, medications, lab results, and other treatment information. The CE notified HHS, the affected individuals, the media, and provided substitute notice. In response to the breach, the CE provided complimentary credit monitoring services and implemented additional administrative, technical, and security safeguards. Staff were retrained.</t>
  </si>
  <si>
    <t>Eye Physicians of Central Florida, PLLC, a division of Florida Pediatric Associates, LLC</t>
  </si>
  <si>
    <t>The covered entity (CE), Eye Physicians of Central Florida, reported that it experienced a cyber-attack that compromised the protected health information (PHI) of 31,189 individuals. The PHI involved included names, addresses, dates of birth, diagnoses/conditions, lab results, medications, financial, and other treatment information. The CE notified HHS, affected individuals, and the media. In response to the breach, the CE provided complimentary credit monitoring services and implemented additional administrative, technical, and security safeguards to better protect its PHI.</t>
  </si>
  <si>
    <t>Highlands Oncology Group PA</t>
  </si>
  <si>
    <t>The covered entity (CE), Highlands Oncology Group, reported that it experienced a ransomware incident that affected the protected health information (PHI) of 55,297 individuals. The PHI involved included names, addresses, dates of birth, Social Security numbers, claims information, diagnoses, conditions, lab results, medications, and other treatment information. The CE notified HHS, the affected individuals, and the media. In response to the breach, the CE implemented additional system monitoring safeguards, revised policies regarding remote access, and implemented additional technical safeguards.</t>
  </si>
  <si>
    <t>The covered entity (CE), County of Los Angeles Department of Mental Health, reported that an employee was the subject of an email phishing scheme that compromised protected health information (PHI) of 1,284 individuals. The PHI involved included names, addresses, dates of birth, Social Security numbers, and treatment information. The CE notified HHS, the affected individuals, the media, and provided substitute notice. In response to the breach, the CE provided complimentary credit monitoring services and implemented additional administrative, technical, and security safeguards. Staff were retrained on email security.</t>
  </si>
  <si>
    <t>NYC Health + Hospitals</t>
  </si>
  <si>
    <t>Desktop Computer, Paper/Films</t>
  </si>
  <si>
    <t>The covered entity (CE), NYC Health + Hospitals, reported that an employee allowed a volunteer to view the protected health information (PHI) of 3,000 individuals. The PHI involved included names, dates of birth, and lab results. The CE notified HHS, the affected individuals, the media, and provided substitute notice. In response to the breach, the CE sanctioned the employee involved in the breach and retrained workforce members to better protect its PHI.</t>
  </si>
  <si>
    <t>RevSpring, Inc.</t>
  </si>
  <si>
    <t>The business associate (BA), RevSpring, reported that a software coding error allowed the protected health information (PHI) of 1,053 individuals to be viewable by others. The PHI involved included names, addresses, diagnoses and other treatment information. The BA notified HHS, affected individuals, and the media. In response to the breach, the BA implemented additional administrative, technical, and security safeguards. Workforce members were also retrained on the requirements to protect and secure sensitive data.</t>
  </si>
  <si>
    <t>Molina Healthcare of Ohio, Inc.</t>
  </si>
  <si>
    <t>The covered entity (CE), Molina Healthcare of Ohio, reported that an employee of its business associate (BA) mailed the protected health information (PHI) of approximately 1,977 individuals to the wrong recipients. The PHI involved included names, health insurance information, and other treatment information. The CE notified HHS, affected individuals, and the media. In response to the breach, the CE and BA provided complimentary credit monitoring services and implemented additional administrative safeguards. OCR provided technical assistance regarding the HIPAA Rules.</t>
  </si>
  <si>
    <t>Humana, the covered entity (CE), reported that a vendor of its business associate (BA) experienced a cyber-attack that compromised the protected health information (PHI) of 2,844 individuals. The PHI involved included names and claims information. The CE notified HHS, affected individuals, and the media. In its mitigation efforts, Humana implemented new technical safeguards.</t>
  </si>
  <si>
    <t>Lone Peak Physical Therapy, Inc.</t>
  </si>
  <si>
    <t>The covered entity (CE), Lone Peak Physical Therapy, reported that documents containing payments and billing information were stolen during a robbery. This compromised the protected health information (PHI) of 5809 individuals. The PHI involved included names, Social Security numbers, addresses, birthdates, claims and financial information, diagnoses, lab results, and medications. The CE notified HHS and affected individuals. In its mitigation efforts, the CE implemented additional physical safeguards to better protect PHI.</t>
  </si>
  <si>
    <t>Rush System for Health</t>
  </si>
  <si>
    <t>The covered entity (CE), Rush System for Health, reported that an employee mailed the protected health information (PHI) of 4,961 individuals in a manner in which PHI was inadvertently disclosed. The PHI involved included names only. The CE notified HHS, affected individuals, and the media. In response to the incident, the CE sanctioned the responsible individual and strengthened its administrative safeguards to better protect PHI. Staff were retrained.</t>
  </si>
  <si>
    <t>CompleteCare Health Network</t>
  </si>
  <si>
    <t>The covered entity (CE), CompleteCare Health Network, reported that it was the subject of a ransomware attack that affected the protected health information (PHI) of 316,059 individuals. The PHI involved included diagnoses, medications, and other treatment information. The CE notified HHS, affected individuals, the media, and provided substitute notice on its website. In response to the breach, the CE provided complimentary credit monitoring services and implemented additional administrative, technical, and security safeguards to better protect its PHI.</t>
  </si>
  <si>
    <t>BlueCross BlueShield of Tennessee, Inc.</t>
  </si>
  <si>
    <t>The covered entity (CE), BlueCross BlueShield of Tennessee, reported that a vendor of its business associate (BA) experienced a cyber-attack that compromised the protected health information (PHI) of 1,676 individuals. The PHI involved included names, birthdates, claims and financial information, and health insurance and other treatment information. The CE notified HHS, affected individuals, and the media.</t>
  </si>
  <si>
    <t>Michigan Orthopaedic Surgeons</t>
  </si>
  <si>
    <t>Michigan Orthopaedic Surgeons, the covered entity (CE), reported that an employee was the subject of an email phishing scheme that compromised the protected health information (PHI) of 67,477 individuals. The PHI involved included names, addresses, dates of birth, Social Security numbers, claims and financial information, diagnoses, lab results, and medications. The CE notified HHS, affected individuals, the media, and provided substitute notice. In its mitigation efforts, the CE provided complimentary credit monitoring and identity protection services and implemented additional administrative, technical, and security safeguards. Staff were retrained on email security precautions.</t>
  </si>
  <si>
    <t>BELLIN HEALTH</t>
  </si>
  <si>
    <t>The covered entity (CE), Bellin Health, reported that it experienced a cyberattack that compromised the protected health information (PHI) of 20,790 individuals. The PHI involved included names, addresses, dates of birth, phone numbers, Social Security numbers, health insurance information, diagnoses, and other treatment information. The CE notified HHS, the affected individuals, and the media. In its mitigation efforts, the CE provided complimentary credit monitoring services and strengthened its administrative and technical safeguards to better protect sensitive data.</t>
  </si>
  <si>
    <t>ZOLL Medical Corporation</t>
  </si>
  <si>
    <t>The covered entity (CE), ZOLL Medical Corporation, reported that an employee was the subject of an email phishing scheme that affected the protected health information (PHI) of 8,898 individuals. The PHI involved included names, addresses, dates of birth, Social Security numbers, and medical diagnoses and other clinical information. ZOLL notified HHS, affected individuals, and the media. In its mitigation efforts, the CE implemented additional administrative, technical, and security safeguards to better protect its PHI. Staff were retrained on email security precautions.</t>
  </si>
  <si>
    <t>Community Memorial Healthcare, Inc.</t>
  </si>
  <si>
    <t>The covered entity (CE), Community Memorial Healthcare, reported that it was the subject of a ransomware attack that affected the protected health information (PHI) of 14,798 individuals. The PHI involved included names, addresses, dates of birth, Social Security numbers, claims information, and diagnoses. The CE notified HHS, the affected individuals, and the media. In response to the breach, the CE provided complimentary credit monitoring services to the affected individuals.</t>
  </si>
  <si>
    <t>AccessOne Medcard, Inc.</t>
  </si>
  <si>
    <t>The business associate (BA), AccessOne Medcard, reported that it experienced a cyber-attack that affected the protected health information (PHI) of 8,049 individuals. The PHI involved included names, dates of birth, addresses, and financial information. The BA notified HHS, affected individuals, and the media. In response to the breach, the BA implemented additional administrative, technical, and security safeguards to better protect its PHI.</t>
  </si>
  <si>
    <t>Eyefinity, Inc.</t>
  </si>
  <si>
    <t>Eyefinity, the business associate (BA), experienced a breach when it discovered a vulnerability involving a small portion of its cloud-based data storage environment that compromised the protected health information (PHI) of approximately 1,352 individuals. The PHI involved included names, dates of birth, addresses, and clinical information. The BA notified HHS, affected individuals, and the media. In its mitigation efforts, the BA applied administrative and technical safeguards to protect against unauthorized access to its PHI.</t>
  </si>
  <si>
    <t>Mount Carmel Care Center</t>
  </si>
  <si>
    <t>The covered entity (CE), Mount Carmel Care Center, reported that it experienced a cyber-attack that affected the protected health information (PHI) of 1,430 individuals. The PHI involved included clinical and financial data. The CE notified HHS, the affected individuals, and the media. In response to the breach the CE implemented additional administrative, technical, and security safeguards. Staff were retrained.</t>
  </si>
  <si>
    <t>Discount Emporium, Inc. d/b/a Drug Emporium</t>
  </si>
  <si>
    <t>The covered entity (CE), Discount Emporium dba Drug Emporium, reported that it experienced a cyber-attack that affected the protected health information (PHI) of 2,500 individuals. The PHI involved included names and medications. The CE notified HHS, the affected individuals, and the media. Following the breach, the CE shuttered all of its pharmacies; therefore, the investigation was closed.</t>
  </si>
  <si>
    <t>Independent Vision Group, LTD</t>
  </si>
  <si>
    <t>The covered entity (CE), Independent Vision Group, reported that an employee was the victim of an email phishing scheme that compromised the protected health information (PHI) of approximately 2,931 individuals. The PHI involved included names, addresses, dates of birth, drivers' license and Social Security numbers, claims and financial information, diagnoses, and health insurance information. The CE notified HHS, affected individuals, and the media. In its mitigation efforts, the CE offered complimentary credit monitoring services and implemented additional administrative and technical safeguards to protect PHI. Staff were retrained on email security precautions. OCR provided technical assistance regarding the HIPAA Rules.</t>
  </si>
  <si>
    <t>City of Hope</t>
  </si>
  <si>
    <t>The covered entity (CE), City of Hope, reported that it experienced a cyber-attack that affected the protected health information (PHI) of 902,540 individuals. The PHI involved included names, dates of birth, Social Security and drivers' license numbers, financial and health insurance information, diagnoses, and other treatment information. The CE notified HHS, affected individuals, and the media. In its mitigation efforts, the CE implemented additional administrative, technical, and security safeguards.</t>
  </si>
  <si>
    <t>Health Diagnostic Management, LLC</t>
  </si>
  <si>
    <t>The covered entity (CE), Health Diagnostic Management, reported that it experienced a cybersecurity incident that affected the protected health information (PHI) of 1,863 individuals. The PHI involved included names, addresses, dates of birth, drivers' license numbers, diagnoses, medications, and other treatment information. The CE notified HHS and the affected individuals. In response to the breach, the CE offered free credit monitoring services and implemented additional administrative, technical, and security safeguards. Staff were also retrained in their requirements to protect and secure PHI.</t>
  </si>
  <si>
    <t>Regional Family Medicine</t>
  </si>
  <si>
    <t>The covered entity (CE), Regional Family Medicine, reported that it experienced a cybersecurity attack which potentially affected the protected health information (PHI) of approximately 80,166 individuals. The PHI involved included names, addresses, dates of birth, Social Security and drivers' license numbers, claims and financial information, and treatment information. The CE notified HHS, the affected individuals, the media, and provided substitute notice. In its mitigation efforts, the CE implemented new technical safeguards in response.</t>
  </si>
  <si>
    <t>Cardiothoracic and Vascular Surgeons, P.A.</t>
  </si>
  <si>
    <t>Yorkshire Wellness Group, Corp.</t>
  </si>
  <si>
    <t>2Yorkshire Wellness Group report that a storage facility containing the medical records of 1,000 individuals were sold at auction. OCR determined that Yorkshire does not meet the definition of a covered entity or a business associate and therefore, has no jurisdiction to investigate further.</t>
  </si>
  <si>
    <t>New Partners, Inc. d/b/a VNS Health Personal Care</t>
  </si>
  <si>
    <t>New Partners dba VNS Health Personal Care, the covered entity (CE), reported that multiple employees were the subjects of an email phishing scheme that compromised the protected health information (PHI) of 5,175 individuals. The PHI involved included names, addresses, dates of birth, diagnoses, lab results, medications, and other treatment information. The CE notified HHS, the affected individuals, the media, and law enforcement officials. In its mitigation efforts, the CE implemented additional technical, administrative, and security safeguards. The mitigation efforts also included workforce member sanctions, updates to its HIPAA privacy and security policies and procedures, and updates to its HIPAA training.</t>
  </si>
  <si>
    <t>VNS CHOICE d/b/a VNS Health Health Plans</t>
  </si>
  <si>
    <t>The covered entity (CE), VNS Health Health Plans, reported that multiple employees were the subjects of an email phishing scheme that compromised the protected health information (PHI) of 13,584 individuals. The PHI involved included names, addresses, dates of birth, claims information, diagnoses, lab results, medications, and other treatment information. The CE notified HHS, affected individuals, the media, and provided substitute notice. In response to the breach, the CE implemented additional administrative, technical, and security safeguards. Staff were retrained on email security precautions.</t>
  </si>
  <si>
    <t>United Healthcare Services, Inc. Single Affiliated Covered Entity</t>
  </si>
  <si>
    <t>The covered entity (CE), United Healthcare Services, reported that it impermissibly disclosed the protected health information (PHI) of 4,264 individuals to a business associate (BA). An employee of the BA was then subjected to an email phishing scheme that compromised this PHI. The PHI involved included names, addresses, birthdates, Social Security numbers, and health insurance and other treatment information. The CE notified HHS, affected individuals, and the media. In response to the breach, the CE offered free credit monitoring services. Staff were also retrained in its requirements to protect and secure PHI.</t>
  </si>
  <si>
    <t>Mercy Medical Center</t>
  </si>
  <si>
    <t>The covered entity (CE), Mercy Medical Center, reported that its business associate (BA) experienced a cyber-attack that affected the protected health information (PHI) of 97,132 individuals. The PHI involved included names, dates of birth, addresses, Social Security numbers, and treatment information. The CE notified HHS, affected individuals, and the media. OCR provided technical assistance regarding the HIPAA Rules.</t>
  </si>
  <si>
    <t>City of Homer</t>
  </si>
  <si>
    <t>AK</t>
  </si>
  <si>
    <t>The covered entity (CE), City of Homer, reported that a flash drive containing the protected health information (PHI) of 1,412 individuals was misplaced. The PHI involved included names, dates of birth, Social Security numbers, medications, and diagnoses. The CE notified HHS, the affected individuals, the media, and posted a substitute notice on its website. In response to the breach, the CE implemented additional administrative and technical safeguards to better protect its PHI. Staff were retrained on the requirement to protect and secure PHI.</t>
  </si>
  <si>
    <t>Wichita Urology Group</t>
  </si>
  <si>
    <t>The covered entity (CE), Wichita Urology Group, reported that its business associate (BA) experienced a cybersecurity incident that affected the protected health information (PHI) of 5,314 individuals. The PHI involved included names, dates of birth, gender, addresses, and telephone numbers. The CE notified HHS, affected individuals, the media, and provided substitute notice. A call center was created for questions or concerns. The CE terminated its business relationship with the BA.</t>
  </si>
  <si>
    <t>Affinity Legacy, Inc.</t>
  </si>
  <si>
    <t>The covered entity (CE), Affinity Legacy, reported that a software application used by its business associate (BA) exposed the protected health information (PHI) of 5,538 individuals. The PHI involved included names, dates of birth, addresses, Social Security numbers, diagnoses, and other treatment information. The CE notified HHS, affected individuals, and the media. In response to the breach, the CE provided complimentary credit monitoring services and the CE and BA implemented additional administrative, technical, and security safeguards to better protect its PHI.</t>
  </si>
  <si>
    <t>Prime Healthcare</t>
  </si>
  <si>
    <t>The covered entity (CE), Prime Healthcare, reported that a software application used by its business associate (BA) exposed the protected health information (PHI) of 7,185 individuals. The PHI involved included names, dates of birth, addresses, Social Security numbers, and treatment information. The CE notified HHS, the affected individuals, the media, and provided substitute notice. In response to the breach, the CE provided complimentary credit monitoring services and implemented additional administrative, technical, and security safeguards to better protect PHI.</t>
  </si>
  <si>
    <t>Hi-School Pharmacy</t>
  </si>
  <si>
    <t>Hi-School Pharmacy, the covered entity (CE), reported that it experienced a cyber-attack which compromised the protected health information (PHI) of 12,779 individuals. The PHI involved included names, addresses, dates of birth, Social Security numbers, medications, and prescription information. The CE notified HHS, affected individuals, the media, and posted substitute notice on its website. In response to the breach and OCR's investigation, the CE revised its policies and procedures, retrained its workforce members, and implemented additional technical safeguards.</t>
  </si>
  <si>
    <t>Pan-American Life Insurance Group, Inc.</t>
  </si>
  <si>
    <t>The covered entity (CE), Pan-American Life Insurance Group, reported that a software application used by its business associate (BA) exposed the protected health information (PHI) of 94,807 individuals. The PHI involved included names, dates of birth, addresses, Social Security and drivers' license numbers, diagnoses, lab results, medications, financial and claims information, and other treatment information. The CE notified HHS, the affected individuals, and the media. In response to the breach, the CE and BA provided complimentary credit monitoring services and implemented additional administrative and technical safeguards to better protect PHI.</t>
  </si>
  <si>
    <t>Leggett &amp; Platt Incorporated Employee Benefit Fund</t>
  </si>
  <si>
    <t>The covered entity (CE), Leggett &amp; Platt Incorporated Employee Benefit Fund, reported that a software application used by its business associate (BA) exposed the protected health information (PHI) of 1,200 individuals. The PHI involved included Social Security numbers, claims, and treatment information. The CE notified HHS, the affected individuals, the media, and provided substitute notice. This case has been consolidated into another breach investigation.</t>
  </si>
  <si>
    <t>Neurosurgical Associates of New Jersey</t>
  </si>
  <si>
    <t>The covered entity (CE), Neurosurgical Associates of New Jersey, reported that multiple employees were the subjects of an email phishing scheme that compromised the protected health information (PHI) of 32,156 individuals. The PHI involved included names, addresses, dates of birth, Social Security numbers, financial information, and diagnoses. The CE notified HHS, affected individuals, the media, and posted substitute notice on its website. In response to the breach, the CE offered free credit monitoring services and implemented additional administrative, technical, and security safeguards.</t>
  </si>
  <si>
    <t>4 Over LLC Group Health Plan</t>
  </si>
  <si>
    <t>4 Over LLC Group Health Plan, the covered entity (CE), reported that it experienced a ransomware attack that compromised the protected health information (PHI) of 6,491 individuals. The PHI involved included names, birthdates, Social Security and drivers' license numbers, diagnoses, medications, and financial and other treatment information. The CE notified HHS, affected individuals, the media, and posted substitute notice on its website. In response to the breach, the CE offered free credit monitoring services and implemented additional administrative, technical, and security safeguards. OCR provided technical assistance regarding the HIPAA Rules.</t>
  </si>
  <si>
    <t>The covered entity (CE), Pan-American Life Insurance Group, reported that a software application used by its business associate (BA) exposed the protected health information (PHI) of 105,387 individuals. The PHI involved included names, dates of birth, addresses, Social Security and drivers' license numbers, diagnoses, lab results, medications, financial and claims information, and other treatment information. The CE notified HHS, the affected individuals, and the media. In response to the breach, the CE and BA provided complimentary credit monitoring services and implemented additional administrative and technical safeguards to better protect PHI.</t>
  </si>
  <si>
    <t>KY Cabinet for Health and Family Services (CHFS)</t>
  </si>
  <si>
    <t>The covered entity (CE), Kentucky Cabinet for Health and Family Services, reported that its business associate (BA) was the subject of a ransomware attack that affected the protected health information (PHI) of 2,062 individuals. The PHI involved included names, Social Security numbers, dates of birth, addresses, claims information, diagnoses/conditions, lab results, medications, and other treatment information. The CE notified HHS, the affected individuals, the media, and provided substitute notice. In response to the breach, the CE provided complimentary credit monitoring services and the CE and BA implemented additional administrative, technical, and security safeguards.</t>
  </si>
  <si>
    <t>Strategic Management LLC</t>
  </si>
  <si>
    <t>The covered entity (CE), Strategic Management, reported that an employee experienced an email phishing attack which contained the protected health information (PHI) of 1,640 individuals. The PHI involved included names, addresses, dates of birth, medical record numbers, Social Security and drivers' license numbers, health insurance and financial information, diagnoses, medications, and other treatment information. The CE notified HHS, affected individuals, the media, and provided substitute notice. In response to the breach, the CE implemented additional administrative, technical, and security safeguards to better protect its PHI.</t>
  </si>
  <si>
    <t>EMS Management and Consultants Inc.</t>
  </si>
  <si>
    <t>EMS Management and Consultants, a business associate (BA), reported that an employee mailed the protected health information (PHI) of 2,564 individuals to the wrong recipients. The PHI involved included names, addresses, treatment information, and financial information. The BA notified HHS, affected individuals, the media, and provided substitute notice. In its mitigation efforts, the CE implemented additional administrative safeguards to better protect PHI.</t>
  </si>
  <si>
    <t>Cardiovascular Consultants Ltd.</t>
  </si>
  <si>
    <t>The covered entity (CE), Cardiovascular Consultants, reported that it experienced a cyber-attack that compromised the protected health information (PHI) of 484,000 individuals. The PHI involved included names, addresses, dates of birth, drivers' license and Social Security numbers, diagnoses, claims information, and other treatment information. The CE notified HHS, affected individuals, and the media. In response to the breach the CE implemented additional administrative and technical safeguards to better protect its PHI.</t>
  </si>
  <si>
    <t>Neuromusculoskeletal Center of the Cascades, PC</t>
  </si>
  <si>
    <t>The covered entity (CE), Neuromusculoskeletal Center of the Cascades, reported that several employees were the subjects of an email phishing scheme that affected the protected health information (PHI) of 19,373 individuals. The PHI involved included names, Social Security numbers, addresses, drivers' license numbers, dates of birth, diagnoses, medications, treatment information, and financial and claims information. The CE notified HHS, affected individuals, the media, and provided substitute notice. In response to the breach, the CE provided complimentary credit monitoring services and implemented additional administrative, technical, and security safeguards to better protect its PHI.</t>
  </si>
  <si>
    <t>West Anaheim Medical Center</t>
  </si>
  <si>
    <t>West Anaheim Medical Center, the covered entity (CE), reported that its business associate (BA) experienced a cyber-attack that compromised the protected health information (PHI) of 1,166 individuals. The PHI involved included names, Social Security numbers, addresses, birthdates, and other treatment information. In its mitigation efforts, the CE provided complimentary credit monitoring services and the CE and BA implemented additional administrative, technical, and security safeguards.</t>
  </si>
  <si>
    <t>Lakeview Healthcare System, LLC</t>
  </si>
  <si>
    <t>Other Portable Electronic Device, Paper/Films</t>
  </si>
  <si>
    <t>The covered entity (CE), Lakeview Healthcare System, reported that it someone broke into its office and stole three mobile device and paper medical records. This breach affected the protected health information (PHI) of approximately 2,495 individuals. The PHI involved included names, addresses, dates of birth, drivers' license and Social Security numbers, financial and claims information, diagnoses, lab results, and medications. The CE notified HHS, affected individuals, the media, and posted substitute notice on its website. In response to the breach, the CE provided complimentary credit monitoring and theft protection services, implemented new policies and procedures, and strengthened its physical safeguards to protect and safeguard PHI.</t>
  </si>
  <si>
    <t>Oak Street Health</t>
  </si>
  <si>
    <t>Oak Street Health, the covered entity (CE), reported that an employee of its vendor mailed the protected health information (PHI) of 3,169 individuals to the wrong recipients. The PHI involved included names, birthdates, addresses, phone numbers, and health insurance and other treatment information. The CE notified HHS, affected individuals, and the media. In its mitigation efforts, the CE strengthened its administrative safeguards and ended its business relationship with the vendor.</t>
  </si>
  <si>
    <t>Sierra County Department of Public Health, Department of Behavioral Health</t>
  </si>
  <si>
    <t>The covered entity (CE), Sierra County Department of Public Health, Department of Behavioral Health, reported several employees were the subjects of an email phishing attack that affected the protected health information (PHI) of 2,463 individuals. The PHI involved included names, email information, phone numbers, tax identification numbers, Social Security numbers, dates of birth, drivers; license or government identification numbers, health insurance information, medications, and financial information. The CE notified HHS, affected individuals, the media, and provided substitute notice. In response to the breach, the CE provided complimentary credit monitoring services and implemented additional administrative, technical, and security safeguards. Staff were retrained on email security precautions.</t>
  </si>
  <si>
    <t>The Charles Lea Center</t>
  </si>
  <si>
    <t>The covered entity (CE), The Charles Lea Center, reported that it experienced a cybersecurity incident that affected the protected health information (PHI) of 1,250 individuals. The PHI involved included names, Social Security numbers, addresses, dates of birth, and diagnoses. The CE notified HHS, affected individuals, the media, and posted substitute notice on its website. In response to the breach, the CE provided complimentary credit monitoring services and implemented additional administrative and technical safeguards to better protect its PHI.</t>
  </si>
  <si>
    <t>Berry, Dunn, McNeil &amp; Parker, LLC</t>
  </si>
  <si>
    <t>ME</t>
  </si>
  <si>
    <t>Berry, Dunn, McNeil, &amp; Parker, the covered entity (CE) reported that its business associate (BA) experienced a ransomware incident that affected the protected health information (PHI) of 2,068,426 individuals. The PHI involved included names, addresses, dates of birth, Social Security and drivers' license numbers, diagnoses, lab results, medications, and other treatment information. The CE notified HHS, affected individuals, the media, and provided substitute notice. In response to the breach, the CE offered free credit monitoring services and implemented additional administrative and technical safeguards to better protect PHI. The CE also terminated its business relationship with the BA.</t>
  </si>
  <si>
    <t>U.S. Drug Mart, Inc.</t>
  </si>
  <si>
    <t>The covered entity (CE), U.S. Drug Mart, reported that its business associate (BA) experienced a cybersecurity attack which potentially affected the protected health information (PHI) of approximately 48,261 individuals. The PHI involved included names, addresses, dates of birth, drivers' license and Social Security numbers, and medications. The CE notified HHS, the affected individuals, the media, and provided substitute notice.</t>
  </si>
  <si>
    <t>Proliance Surgeons</t>
  </si>
  <si>
    <t>The covered entity (CE), Proliance Surgeons, reported that it experienced a ransomware incident that affected the protected health information (PHI) of 437,392 individuals. The PHI involved included names, dates of birth, addresses, drivers' license and Social Security numbers, financial information, and diagnoses. The CE notified HHS, the affected individuals, the media, and posted substitute notice on its website. In response to the breach, the CE provided complimentary credit monitoring services and implemented additional administrative and technical safeguards to better protect PHI.</t>
  </si>
  <si>
    <t>California Physicians' Service d/b/a Blue Shield of California</t>
  </si>
  <si>
    <t>California Physicians' Service dba Blue Shield of California, the covered entity (CE), reported that its business associate (BA) experienced a cyber-attack that compromised the protected health information (PHI) of 636,849 individuals. The PHI involved included names, Social Security numbers, diagnoses, addresses, birthdates, and claims information. In its mitigation efforts, the CE provided complimentary credit monitoring services and implemented additional administrative, technical, and security safeguards.</t>
  </si>
  <si>
    <t>Blue Shield of California OR Blue Shield of California Promise Health Plan</t>
  </si>
  <si>
    <t>Blue Shield of California OR Blue Shield of California Promise Health Plan, the covered entity (CE), reported that its business associate (BA) experienced a cyber-attack that compromised the protected health information (PHI) of 27,832 individuals. The PHI involved included names, Social Security numbers, diagnoses, addresses, birthdates, and claims information. In its mitigation efforts, the CE provided complimentary credit monitoring services and implemented additional administrative, technical, and security safeguards.</t>
  </si>
  <si>
    <t>State of Maine</t>
  </si>
  <si>
    <t>The covered entity (CE), The State of Maine, reported that a software application used by its business associate (BA) exposed the protected health information (PHI) of 376,504 individuals. The PHI involved included names, dates of birth, drivers' license and Social Security numbers, addresses, diagnoses, lab results, medications, and claims and treatment information. The CE notified HHS, affected individuals, the media, and provided substitute notice. In response to the breach, the CE provided complimentary credit monitoring services and the CE and BA implemented additional administrative, technical, and security safeguards to better protect PHI.</t>
  </si>
  <si>
    <t>Rock Valley Physical Therapy Center</t>
  </si>
  <si>
    <t>The covered entity (CE), Rock Valley Physical Therapy Center, reported that an employee sent an email to 2,421 individuals that exposed names and email addresses. The CE notified HHS, the affected individuals, the media, and provided substitute notice on its website. In its mitigation efforts, the CE sanctioned and retrained the employee responsible and implemented additional administrative safeguards to better protect sensitive data.</t>
  </si>
  <si>
    <t>Westside Community Services</t>
  </si>
  <si>
    <t>The covered entity (CE), Westside Community Services, reported that it was the subject of a ransomware attack that affected the protected health information (PHI) of 2,484 individuals. The PHI involved included names, dates of birth, drivers' license and Social Security numbers, financial information, diagnoses, lab results, and medications. The CE notified HHS, the affected individuals, the media, and provided substitute notice. In response to the breach, the CE provided complimentary credit monitoring services and implemented additional administrative, technical, and security safeguards to better protect its PHI.</t>
  </si>
  <si>
    <t>International Paper Company Group Health and Welfare Plan</t>
  </si>
  <si>
    <t>The covered entity (CE), International Paper Company Group Health and Welfare Plan, reported that a software application used by its business associate (BA) exposed the protected health information (PHI) of 78,692 individuals. The PHI involved included names, addresses, dates of birth, Social Security numbers, and health insurance information. The CE notified HHS, the affected individuals, and the media. In response to the breach, the BA provided complimentary credit monitoring services and implemented additional administrative, technical, and security safeguards to better protect PHI.</t>
  </si>
  <si>
    <t>Medical College of Wisconsin</t>
  </si>
  <si>
    <t>The covered entity (CE), Medical College of Wisconsin, reported that its third-party vendor experienced a cybersecurity incident that allowed unauthorized access to its server and compromised the protected health information (PHI) of 240,667 individuals. The PHI involved included names, addresses, Social Security numbers, dates of birth, claims information, diagnoses, lab results, and medications. The CE notified HHS, affected individuals, and the media. In its mitigation efforts, the CE provided credit monitoring services and terminated its business relationship with the vendor.</t>
  </si>
  <si>
    <t>Medical Eye Services, Inc.</t>
  </si>
  <si>
    <t>The covered entity (CE), Medical Eye Services, reported that a software application used by its business associate (BA) exposed the protected health information (PHI) of 377,931 individuals. The PHI involved included names, dates of birth, addresses, Social Security numbers, diagnoses, claims and health insurance information, and other treatment information. The CE notified HHS, the affected individuals, the media, and provided substitute notice. In response to the breach, the CE provided complimentary credit monitoring services and the CE and BA implemented additional administrative, technical, and security safeguards to better protect its PHI.</t>
  </si>
  <si>
    <t>Endocrine and Psychiatry Center</t>
  </si>
  <si>
    <t>Southwest Behavioral Health Center</t>
  </si>
  <si>
    <t>Medical University of South Carolina</t>
  </si>
  <si>
    <t>The covered entity (CE), Medical University of South Carolina, reported that its business associate (BA) sent an email that contained the protected health information (PHI) of 1,758 individuals to the wrong recipients. The PHI involved included names only. The CE notified HHS, affected individuals, and the media. The employee involved was retrained.</t>
  </si>
  <si>
    <t>CBIZ KA Consulting Services, LLC</t>
  </si>
  <si>
    <t>The business associate (BA), CBIZ KA Consulting Services, reported that a software application used by its vendor exposed the protected health information (PHI) of 436,198 individuals. The PHI involved included names, dates of birth, addresses, Social Security and drivers' license numbers, diagnoses, financial and health insurance information, and other treatment information. The BA notified HHS, affected individuals, the media, and provided substitute notice. In response to the breach, the BA implemented additional administrative, technical, and security safeguards to better protect PHI.</t>
  </si>
  <si>
    <t>Southland Integrated Services, Inc.</t>
  </si>
  <si>
    <t>Southland Integrated Services, the covered entity (CE), reported that it experienced a ransomware attack that compromised the protected health information (PHI) of 7,988 individuals. The PHI involved included names, addresses, dates of birth, drivers' license and Social Security numbers, health insurance Information, lab results, medications, diagnoses, and additional treatment information. The CE notified HHS, affected individuals, the media, and posted substitute notice on its website. In its mitigation efforts, the CE revised its policies and procedures, retrained its workforce members, and implemented additional technical safeguards.</t>
  </si>
  <si>
    <t>Boomerang Healthcare</t>
  </si>
  <si>
    <t>Boomerang Healthcare, the covered entity (CE), reported that an employee inadvertently emailed an Excel spreadsheet containing the protected health information (PHI) of 1,204 patients to unauthorized individuals. The PHI involved included names, addresses, email addresses, dates of birth, phone numbers, and diagnoses. The CE notified HHS, affected individuals, and the media. In response to the breach and OCR's investigation, the CE sanctioned the responsible employee and strengthened its administrative and technical safeguards.</t>
  </si>
  <si>
    <t>Prestige Care, Inc.</t>
  </si>
  <si>
    <t>The covered entity (CE), Prestige Care, reported that it was the subject of a hacking attack that affected the protected health information (PHI) of 116,956 individuals. The PHI involved included names, dates of birth, claims information, diagnoses, and other treatment information. The CE notified HHS, the affected individuals, and the media. In response to the breach, the CE implemented additional administrative, technical, and security safeguards. OCR provided technical assistance regarding the HIPAA Privacy and Security Rules.</t>
  </si>
  <si>
    <t>Welltok, Inc.</t>
  </si>
  <si>
    <t>The business associate (BA), Welltok, reported that a software application exposed the protected health information (PHI) of 14,782,887 individuals. The PHI involved included names, addresses, and Social Security numbers. The BA notified HHS, the affected individuals, the media, and provided substitute notice. In response to the breach, the BA provided complimentary credit monitoring services and implemented additional administrative, technical, and security safeguards. Staff were retrained to better protect PHI.</t>
  </si>
  <si>
    <t>Financial Asset Management Systems</t>
  </si>
  <si>
    <t>The business associate (BA), Financial Asset Management Systems, reported that it experienced a ransomware incident that affected the protected health information (PHI) of 164,796 individuals. The PHI involved included names and claims and financial information. The BA notified HHS, affected individuals, the media, and posted substitute notice on its website. In response to the breach, the BA provided complimentary credit monitoring services and implemented additional administrative, technical, and security safeguards to better protect PHI.</t>
  </si>
  <si>
    <t>Mayo Clinic</t>
  </si>
  <si>
    <t>Mayo Clinic, the covered entity (CE), reported that an employee inadvertently submitted the protected health information (PHI) of 1,152 individuals to an academic journal; the data was then published via the Internet. The PHI involved included names, dates of birth, lab results, medical records numbers, gender, race, and treatment information. The CE notified HHS and affected individuals. In its mitigation efforts, the CE implemented additional administrative safeguards to better protect PHI. Staff were retrained.</t>
  </si>
  <si>
    <t>Sutter Health</t>
  </si>
  <si>
    <t>The covered entity (CE), Sutter Health, reported that its business associate (BA) experienced a malware attack that affected the protected health information (PHI) of 845,441 individuals. The PHI involved included names, addresses, dates of birth, diagnoses, and other treatment information. The CE notified HHS, affected individuals, the media, and provided substitute notice. In response to the breach, the CE provided complimentary credit monitoring services and the CE and BA implemented additional administrative, technical, and security safeguards. Staff were retrained to better protect PHI.</t>
  </si>
  <si>
    <t>Perry Johnson &amp; Associates, Inc. dba PJ&amp;A</t>
  </si>
  <si>
    <t>The business associate (BA), Perry Johnson &amp; Associates, reported that it experienced a ransomware attack that compromised the protected health information (PHI) of 9,302,588 individuals. The PHI involved included names, addresses, dates of birth, Social Security numbers, claims information, diagnoses, lab results, medications, and other treatment information. The BA notified HHS, the affected individuals, the media, and provided substitute notice. In response to the breach, the BA provided complimentary credit monitoring services and implemented additional administrative, technical, and security safeguards to better protect PHI.</t>
  </si>
  <si>
    <t>Catholic Charities of the Diocese of Rockville Centre d/b/a Catholic Charities of Long Island</t>
  </si>
  <si>
    <t>The covered entity (CE), Catholic Charities of the Diocese of Rockville Centre dba Catholic Charities of Long Island, reported that it experienced a ransomware incident that affected the protected health information (PHI) of 13,000 individuals. The PHI involved included names, addresses, dates of birth, Social Security numbers, claims information, diagnoses, lab results, medications, and other treatment information. The CE notified HHS, affected individuals, the media, and posted substitute notice on its website. In response to the breach, the CE implemented additional technical and security safeguards to better protect its PHI.</t>
  </si>
  <si>
    <t>Life Generations Healthcare LLC</t>
  </si>
  <si>
    <t>The covered entity (CE), Life Generations Healthcare, reported that multiple employees were the subjects of an email phishing scheme that compromised the protected health information (PHI) of 5,832 individuals. The PHI involved included names, birthdates, addresses, drivers' license and Social Security numbers, diagnoses, and financial and other treatment information. The CE notified HHS, affected individuals, the media, and provided substitute notice. In response to the breach, the CE provided complimentary credit monitoring services and implemented additional administrative, technical, and security safeguards. Staff were retrained on email security.</t>
  </si>
  <si>
    <t>Rebekah Children's Services</t>
  </si>
  <si>
    <t>The covered entity (CE), Rebekah Children's Services, reported that it experienced a cyber-attack that compromised the protected health information (PHI) of 2,033 individuals. The PHI involved included names, birthdates, diagnoses, lab results, medications, email addresses, phone numbers, Social Security and drivers' license numbers, and other treatment information. The CE notified HHS, affected individuals, and the media. In response to the breach, the CE updated its administrative and technical safeguards to better protect sensitive data. OCR provided technical assistance regarding the HIPAA Rules.</t>
  </si>
  <si>
    <t>PeakMed</t>
  </si>
  <si>
    <t>PeakMed, the covered entity (CE), reported that it experienced a cyber-attack that compromised the protected health information (PHI) of approximately 27,800 individuals. The PHI involved included names, addresses, birthdates, Social Security and drivers' license numbers, diagnoses, and financial and other treatment information. The CE notified HHS, affected individuals, the media, and provided substitute notice. In its mitigation efforts, the CE strengthened its administrative and technical safeguards. OCR provided technical assistance regarding the HIPAA Security Rule.</t>
  </si>
  <si>
    <t>Cadence Bank</t>
  </si>
  <si>
    <t>Cadence Bank, the covered entity (CE), reported that its business associate (BA) experienced a cyber-attack that compromised the protected health information (PHI) of 13,862 individuals. The PHI involved included names, addresses, dates of birth, Social Security numbers, drivers' license numbers, health insurance information, claims and financial information, and other treatment information. In its mitigation efforts, the BA implemented additional technical safeguards and provided complimentary credit monitoring services.</t>
  </si>
  <si>
    <t>Greater Rochester Independent Practice Association, Inc.</t>
  </si>
  <si>
    <t>The covered entity (CE), Greater Rochester Independent Practice Association, reported that a software application exposed the protected health information (PHI) of 279,156 individuals. The PHI involved included names, dates of birth, addresses, claims information, and other treatment information. The CE notified HHS, affected individuals, the media, and provided substitute notice. In response to the breach, the CE provided complimentary credit monitoring services and the CE and BA implemented additional administrative, technical, and security safeguards to better protect its PHI.</t>
  </si>
  <si>
    <t>Western Washington Medical Group</t>
  </si>
  <si>
    <t>The covered entity (CE), Western Washington Medical Group, reported that it was the subject of a ransomware attack that affected the protected health information (PHI) of 350,863 individuals. The PHI involved included names, addresses, Social Security numbers, dates of birth, claims information, and diagnoses. The CE notified HHS, the affected individuals, the media, and provided substitute notice. In response to the breach, the CE provided complimentary credit monitoring services and implemented additional administrative, technical, and security safeguards. Staff were retrained on the requirement to protect and secure PHI.</t>
  </si>
  <si>
    <t>Fredericksburg Foot &amp; Ankle Center, PLC</t>
  </si>
  <si>
    <t>Fredericksburg Foot &amp; Ankle Center, the covered entity (CE), reported that it experienced a cyber-attack that affected the protected health information (PHI) of 14,912 individuals. The PHI involved included names, addresses, dates of birth, Social Security numbers, drivers' license and state identification numbers, and clinical and health insurance information. The CE notified HHS, the affected individuals, and the media. Following the breach, the CE sold all of its assets and ceased all healthcare operations. Therefore, OCR closed its investigation.</t>
  </si>
  <si>
    <t>Edward C. Taylor, PhD</t>
  </si>
  <si>
    <t>The covered entity (CE), Edward C. Taylor, PhD, reported that it experienced a ransomware incident that affected the protected health information (PHI) of 6,684 individuals. The PHI involved included names, dates of birth, diagnoses, and health insurance information. The CE notified HHS, affected individuals, the media, and posted substitute notice on its website. In response to the breach, the CE offered free credit monitoring services and implemented additional administrative and technical safeguards.</t>
  </si>
  <si>
    <t>MNGI Digestive Health, PA</t>
  </si>
  <si>
    <t>The covered entity (CE), MNGI Digestive Health, reported that it experienced a ransomware incident that affected the protected health information (PHI) of 767,670 individuals. The PHI involved included names, dates of birth, drivers' license and Social Security numbers, claims and financial information, diagnoses, lab results, medications, and other treatment information. The CE notified HHS, the affected individuals, the media, and posted substitute notice on its website. In response to the breach, the CE provided complimentary credit monitoring services and implemented additional administrative, technical, and security safeguards to better protect its PHI.</t>
  </si>
  <si>
    <t>eleHealth</t>
  </si>
  <si>
    <t>The business associate (BA), eleHealth, reported that an employee inadvertently mailed the protected health information (PHI) of 2,187 individuals to the wrong recipients. The PHI involved included names and health insurance information. The BA notified HHS, affected individuals, the media, and provided substitute notice. In response to the breach, the BA implemented additional administrative safeguards, including updating its policies and procedures and retraining staff.</t>
  </si>
  <si>
    <t>Dakota Eye Institute</t>
  </si>
  <si>
    <t>Dakota Eye Institute, the covered entity (CE), reported that it experienced a ransomware attack that compromised the protected health information (PHI) of 107,143 individuals. The PHI involved included names, addresses, dates of birth, drivers' license information, diagnoses, medications, and other treatment information. The CE notified HHS, affected individuals, and the media, as well as implemented additional administrative, technical, and security safeguards to better protect its PHI.</t>
  </si>
  <si>
    <t>Morrison Child and Family Services</t>
  </si>
  <si>
    <t>The covered entity (CE), Morrison Child and Family Services, reported that it experienced a cyber-attack that compromised the protected health information (PHI) of 2,044 individuals. The PHI involved included names, dates of birth, Social Security numbers, addresses, diagnoses, and medications. The CE notified HHS, the affected individuals, the media, and provided substitute notice. In response to the breach, the CE provided complimentary credit monitoring services and implemented additional administrative, technical, and security safeguards.</t>
  </si>
  <si>
    <t>Radius Global Solutions</t>
  </si>
  <si>
    <t>Radius Global Solutions, the business associate (BA), reported that it experienced a malware attack that compromised the protected health information (PHI) of 135,472 individuals. The PHI involved included names, addresses, Social Security numbers, and birthdates. The CE notified HHS, affected individuals, the media, and posted substitute notice on its website. In its mitigation efforts, the BA strengthened its administrative and technical safeguards and provided complimentary credit monitoring services.</t>
  </si>
  <si>
    <t>Counseling and Recovery Services of Oklahoma</t>
  </si>
  <si>
    <t>The covered entity (CE), Counseling and Recovery Services of Oklahoma, reported that an employee was the subject of an email phishing attack that compromised the protected health information (PHI) of approximately 3,365 individuals. The PHI involved included names, addresses, dates of birth, Social Security numbers, lab results, and diagnoses. The CE notified HHS, the affected individuals, the media, and provided substitute notice. The CE implemented new administrative and technical safeguards. Staff were retrained in email security.</t>
  </si>
  <si>
    <t>Oscar Insurance Company of Florida</t>
  </si>
  <si>
    <t>The covered entity (CE), Oscar Insurance Company of Florida, reported that it experienced a cyber-attack that compromised the protected health information (PHI) of 1,399 individuals. The PHI involved included names, email addresses, and health insurance information The CE notified HHS, the affected individuals, the media, and provided substitute notice. In response to the breach, the CE implemented additional administrative, technical, and security safeguards to better protect its PHI.</t>
  </si>
  <si>
    <t>Atlas Healthcare Group</t>
  </si>
  <si>
    <t>Atlas Healthcare Group reported that it experienced a cyber-attack that affected the protected health information (PHI) of 10,831 individuals. Upon further review, it was determined that the entity is not a part of OCR's regulated community; the case was therefore closed.</t>
  </si>
  <si>
    <t>NASCO</t>
  </si>
  <si>
    <t>The business associate (BA), NASCO, reported that a software application exposed the protected health information (PHI) of 1,744,655 individuals. The PHI involved included names, dates of birth, addresses, Social Security numbers, diagnoses, claims and health insurance information, and other treatment information. The BA notified HHS, the affected individuals, the media, and provided substitute notice. In response to the breach, the BA provided complimentary credit monitoring services and implemented additional administrative, technical, and security safeguards to better protect PHI.</t>
  </si>
  <si>
    <t>BHS Physician Network, Inc.</t>
  </si>
  <si>
    <t>The covered entity (CE), BHS Physician Network, reported that an employee experienced an email phishing attack that affected the protected health information (PHI) of 1,857 individuals. The PHI involved included names, dates of birth, diagnoses, and other treatment information. The CE notified HHS, the affected individuals, and provided substitute notice. In response to the breach, the CE implemented additional administrative, technical, and security safeguards to better protect its PHI.</t>
  </si>
  <si>
    <t>Data Media Associates</t>
  </si>
  <si>
    <t>Brooklyn Premier Orthopedics</t>
  </si>
  <si>
    <t>The covered entity (CE), Brooklyn Premier Orthopedics, reported that it was the subject of a cyber-attack that affected the protected health information (PHI) of 48,459 individuals. The PHI involved included names, addresses, dates of birth, drivers' license and Social Security numbers, diagnoses, medications, and other treatment information. The CE notified HHS, affected individuals, the media, and provided substitute notice. In response to the breach, the CE provided complimentary credit monitoring services and implemented additional administrative, technical, and security safeguards to better protect its PHI.</t>
  </si>
  <si>
    <t>Neurovative Diagnostics, LLC</t>
  </si>
  <si>
    <t>The covered entity (CE), Neurovative Diagnostics, reported that an employee emailed the protected health information (PHI) of 1,599 individuals to an unauthorized individual. The PHI involved included names, dates of birth, diagnoses, and other treatment information. The CE notified HHS and affected individuals. In response to the breach, the CE implemented additional administrative, technical, and security safeguards. Staff were retrained on the requirement to protect and secure PHI.</t>
  </si>
  <si>
    <t>Responsive Care Solutions</t>
  </si>
  <si>
    <t>The business associate (BA), Responsive Care Solutions, reported that an employee inadvertently mailed the protected health information (PHI) of 5,200 individuals. The PHI involved included names, addresses, and other treatment information. The BA notified HHS, affected individuals, and the media. In its mitigation efforts, the BA strengthened its administrative, technical, and security safeguards. Staff were retrained on the requirements to protect and secure PHI.</t>
  </si>
  <si>
    <t>Walmart Associates Health and Welfare Plan</t>
  </si>
  <si>
    <t>The covered entity (CE), Walmart Associates Health and Welfare Plan, reported that a vender of its business associates (BA) experienced a cybersecurity incident that compromised the protected health information (PHI) of approximately 85,952 individuals. The PHI involved included names, addresses, dates of birth, and health insurance information. The CE notified HHS, affected individuals, the media, and provided substitute notice. The BA and its vendor strengthened its technical safeguards to better protect sensitive data.</t>
  </si>
  <si>
    <t>Borgfeld Dental Center PLLC dba Henwood Family Dentistry</t>
  </si>
  <si>
    <t>The covered entity (CE), Borgfeld Dental Center dba Henwood Family Dentistry, reported that it was the subject of a ransomware attack that affected the protected health information (PHI) of 7,300 individuals. The PHI involved included names, Social Security numbers, addresses, dates of birth, drivers' license numbers, diagnoses, and other treatment information. The CE notified HHS, affected individuals, the media, and provided substitute notice. In response to the breach, the CE provided complimentary credit monitoring services and implemented additional administrative, technical, and security safeguards.</t>
  </si>
  <si>
    <t>Prospect Medical Holdings, Inc.</t>
  </si>
  <si>
    <t>The covered entity (CE), Prospect Medical Holdings, reported that it experienced a ransomware incident that affected the protected health information (PHI) of 1,309,096 individuals. The PHI involved included names, dates of birth, drivers' license and Social Security numbers, addresses, diagnoses, lab results, medications, claims and financial information, and other treatment information. The CE notified HHS, affected individuals, the media, and posted substitute notice on its website. In response to the breach, the CE offered free credit monitoring and identity theft protection services and implemented new administrative and technical safeguards.</t>
  </si>
  <si>
    <t>Valley Mountain Regional Center</t>
  </si>
  <si>
    <t>The covered entity (CE), Valley Mountain Regional Center, reported that it experienced a cyber-attack that compromised the protected health information (PHI) of 126,679 individuals. The PHI involved included names, addresses, birthdates, Social Security and drivers' license numbers, and diagnoses. The CE notified HHS, the affected individuals, and the media. In response to the breach, the CE updated its administrative and technical safeguards. OCR provided technical assistance regarding the HIPAA Rules.</t>
  </si>
  <si>
    <t>H3- Hope, Healing, Health Inc.</t>
  </si>
  <si>
    <t>The covered entity (CE), H3 - Hope, Healing, Health, reported that an employee was subjected to an email phishing scheme that compromised the protected health information (PHI) of 1,586 individuals. The PHI involved included names, addresses, dates of birth, drivers' license and Social Security Numbers, diagnoses, lab results, medications, and health insurance information. The CE notified HHS, affected individuals, and provided substitute notice. In response to the breach, the CE provided complimentary credit monitoring services and implemented additional administrative and technical safeguards to better protect its PHI.</t>
  </si>
  <si>
    <t>Mt. Graham Regional Medical Center</t>
  </si>
  <si>
    <t>Mount Graham Regional Medical Center, the covered entity (CE), reported that it experienced a ransomware attack that compromised the protected health information (PHI) of 35,688 individuals. The PHI involved included names, addresses, Social Security and drivers' license numbers, birthdates, financial information, and treatment information. In its mitigation efforts, the CE implemented additional administrative, technical, and security safeguards to better protect sensitive data.</t>
  </si>
  <si>
    <t>Georgia Northside Ear, Nose, and Throat, LLC.</t>
  </si>
  <si>
    <t>Tenet Healthcare, on behalf of Georgia Northside Ear, Nose, and Throat, the covered entity (CE), reported that an employee of the CE was the subject of an email phishing attack that compromised the protected health information (PHI) of 37,774 individuals. The PHI involved included names, addresses, dates of birth, claims information, diagnoses, and other treatment information. Tenet Healthcare notified HHS, affected individuals, and the media. In its mitigation efforts, the CE implemented additional technical safeguards to better protect its sensitive data.</t>
  </si>
  <si>
    <t>Greater Dallas Healthcare Enterprises</t>
  </si>
  <si>
    <t>The covered entity (CE), Tenet Healthcare, on behalf of Greater Dallas Healthcare Enterprises, reported that an employee of the CE experienced a phishing attack that affected the protected health information (PHI) of 143,833 individuals. The PHI involved included names, addresses, dates of birth, claims and treatment information, diagnoses, and other treatment information. The CE notified HHS, the affected individuals, the media, and provided substitute notice. In response to the breach, the CE implemented additional administrative, technical, and security safeguards to better protect PHI.</t>
  </si>
  <si>
    <t>South Florida Behavioral Health Network dba Thriving Mind South Florida</t>
  </si>
  <si>
    <t>The business associate (BA), South Florida Behavioral Health Network dba Thriving Mind South Florida, reported that it was the subject of a ransomware attack that affected the protected health information (PHI) of 258,126 individuals. The PHI involved included names, addresses, dates of birth, Social Security numbers, and treatment information. The BA notified HHS, the affected individuals, the media, and provided substitute notice. In response to the breach, the BA provided complimentary credit monitoring services and implemented additional administrative, technical, and security safeguards. Staff were retrained.</t>
  </si>
  <si>
    <t>The covered entity (CE), Hospice of the Bluegrass dba Bluegrass Care Navigators, reported that an employee was the victim of an email phishing scheme that affected the protected health information (PHI) of 7,664 individuals. The PHI involved included addresses, and dates of birth. The CE notified HHS, the affected individuals, the media, and provided substitute notice. In response to the breach, the CE implemented additional administrative and technical safeguards. Staff were retrained on email security.</t>
  </si>
  <si>
    <t>Cook County Health and Hospitals System</t>
  </si>
  <si>
    <t>Cook County Health and Hospitals System, the covered entity (CE), reported that its business associate (BA) experienced a ransomware attack that compromised the protected health information (PHI) of 1,248,546 individuals. The PHI involved included names, addresses, dates of birth, Social Security numbers, diagnoses, and other treatment information. The CE notified HHS, affected individuals, and the media. In response to the breach, the CE terminated its business relationship with the BA.</t>
  </si>
  <si>
    <t>OrthoAlaska, LLC</t>
  </si>
  <si>
    <t>The covered entity (CE), OrthoAlaska, reported that it experienced a ransomware incident that affected the protected health information (PHI) of 176,203 individuals. The PHI involved included names, addresses, dates of birth, Social Security numbers, diagnoses, lab results, and medications. The CE notified HHS, affected individuals, the media, and posted substitute notice on its website. In response to the breach, the CE implemented additional administrative, technical, and security safeguards. Staff were retrained on the requirement to protect and secure sensitive data.</t>
  </si>
  <si>
    <t>Allegheny County, Pennsylvania</t>
  </si>
  <si>
    <t>Allegheny County, the business associate (BA), reported that it experienced a cyber-attack that compromised the protected health information (PHI) of 1,505 individuals. The PHI involved included names, birthdates, health insurance information, and other treatment information. The BA notified HHS, affected individuals, the media, and posted substitute notice on its website. In its mitigation efforts, the BA implemented additional administrative and technical safeguards to better protect PHI.</t>
  </si>
  <si>
    <t>Blue Cross Blue Shield of Texas</t>
  </si>
  <si>
    <t>The business associate (BA), Blue Cross Blue Shield of Texas, reported that an employee inadvertently mailed the protected health information (PHI) of 3,708 individuals to the wrong addresses. The PHI involved included names and health insurance information. The BA notified HHS, affected individuals, and the media In response to the breach, the BA implemented additional administrative safeguards to better protect PHI.</t>
  </si>
  <si>
    <t>Clover Health LLC</t>
  </si>
  <si>
    <t>Clover Health, the covered entity (CE), reported that an employee of its business associate (BA) posted the protected health information (PHI) of 2,834 individuals to the Internet. The PHI involved included names, birthdates, addresses, phone numbers, and other treatment information. Clover Health notified HHS, affected individuals, and the media. In its mitigation efforts, the CE and BA sanctioned the responsible employee and strengthened its administrative and technical safeguards.</t>
  </si>
  <si>
    <t>Indiana University Health</t>
  </si>
  <si>
    <t>The covered entity (CE), Indiana University Health, reported that its business associate (BA) experienced a cybersecurity incident that affected the protected health information (PHI) of 4,194 individuals. The PHI involved included names and treatment information. The CE notified HHS, affected individuals, the media, and provided substitute notice. In response to the breach, the BA implemented additional technical and security safeguards to better protect PHI.</t>
  </si>
  <si>
    <t>Elevate Patient Financial Solutions</t>
  </si>
  <si>
    <t>The business associate (BA), Elevate Patient Financial Solutions, reported that an employee mailed out documents in which the protected health information (PHI) of 5,364 individuals was visible through the window of the envelope. The PHI involved included names, addresses, and Social Security numbers. The BA notified HHS and the affected individuals. In its mitigation efforts, the BA strengthened its administrative and technical safeguards to better protect sensitive data.</t>
  </si>
  <si>
    <t>Virginia Department of Medical Assistance Services</t>
  </si>
  <si>
    <t>The Virginia Department of Medical Assistance Services, the covered entity (CE), reported that its business associate (BA) experienced a cyber-attack that compromised the protected health information (PHI) of 1,229,333 individuals. The PHI involved included names, birthdates, Social Security and drivers' license numbers, claims and financial information, and other treatment information. The CE notified HHS and the media. In its mitigation efforts, the CE and BA implemented additional administrative and technical safeguards to better protect PHI.</t>
  </si>
  <si>
    <t>Nuance Communications, Inc.</t>
  </si>
  <si>
    <t>Nuance Communications, the business associate (BA), reported that it experienced a cyber-attack that compromised the protected health information (PHI) of 1,225,054 individuals. The PHI involved included names, addresses, dates of birth, diagnoses, medications, and Social Security numbers. The BA notified HHS, affected individuals, the media, and provided substitute notice. In its mitigation efforts, the BA strengthened its administrative, technical, and security safeguards to better protect PHI.</t>
  </si>
  <si>
    <t>Oak Valley Hospital District</t>
  </si>
  <si>
    <t>Oak Valley Hospital District, the covered entity (CE), reported that it experienced a cyber-attack that compromised the protected health information (PHI) of 284,629 individuals. The PHI involved included names, addresses, dates of birth, Social Security numbers, health insurance information, diagnoses, lab results, medications, and claims information. The CE notified HHS, affected individuals, the media, and posted substitute notice on its website. In response to the breach and OCR's investigation, the CE revised its policies and procedures, retrained its workforce members, and implemented additional technical safeguards.</t>
  </si>
  <si>
    <t>Temple University Health System,Inc.</t>
  </si>
  <si>
    <t>The covered entity (CE), Temple University Health System, reported that a software application used by its business associate (BA) exposed the protected health information (PHI) of 431,563 individuals. The PHI involved included names, dates of birth, addresses, diagnoses, and medications. The CE notified HHS, affected individuals, the media, and provided substitute notice. In response to the breach, the CE provided complimentary credit monitoring services and the CE and BA implemented additional administrative, technical, and security safeguards to better protect PHI.</t>
  </si>
  <si>
    <t>Founder Project Rx, Inc.</t>
  </si>
  <si>
    <t>Peach State Health Plan</t>
  </si>
  <si>
    <t>The covered entity (CE), Peach State Health Plan, reported that its business associate (BA) experienced a cyber-attack that affected the protected health information (PHI) of 1,246 individuals. The PHI involved included names, addresses, dates of birth, diagnoses, medications, and other treatment information. The CE notified HHS, affected individuals, and the media. In response to the breach, the CE provided complimentary credit monitoring services and the CE and BA implemented additional administrative, technical, and security safeguards to better protect PHI.</t>
  </si>
  <si>
    <t>Advocates for a Healthy Community Inc dba Jordan Valley Community Health Center</t>
  </si>
  <si>
    <t>The covered entity (CE), Advocates for a Healthy Community dba Jordan Valley Community Health Center, reported that an employee emailed the protected health information (PHI) of 2,502 individuals to his/her personal email account. The PHI involved included names, addresses, and dates of birth. The CE notified HHS, the affected individuals, the media, and provided substitute notice. In response to the breach, the CE sanctioned the responsible employee and implemented additional administrative and technical safeguards. Staff were retrained on the requirement to protect and secure PHI.</t>
  </si>
  <si>
    <t>Coos Health &amp; Wellness</t>
  </si>
  <si>
    <t>The covered entity (CE), Coos Health and Wellness, reported that it experienced a cybersecurity incident that compromised the protected health information (PHI) of 22,115 individuals. The PHI involved includes names, Social Security and drivers' license numbers, birthdates, addresses, and health insurance information. The CE notified HHS, affected individuals, and the media. In response to the breach, the CE updated its administrative and technical safeguards. OCR provided technical assistance regarding the HIPAA Rules.</t>
  </si>
  <si>
    <t>Roseman University of Health Sciences</t>
  </si>
  <si>
    <t>The covered entity (CE), Roseman University of Health Sciences, reported that it experienced a cybersecurity attack that compromised the protected health information (PHI) of 4,622 individuals. The PHI involved included names, addresses, dates of birth, drivers' license information, Social Security numbers, diagnoses, medications, lab results, and other treatment information. The CE notified HHS, affected individuals, and the media. In response to the breach the CE implemented additional administrative and technical safeguards to better protect its PHI. OCR provided technical assistance regarding the HIPAA Rules.</t>
  </si>
  <si>
    <t>Amerita</t>
  </si>
  <si>
    <t>The covered entity (CE), Amerita, reported that its parent company PharMerica experienced a cyber-attack that affected the protected health information (PHI) of 219,707 individuals. The PHI involved included names, addresses, claims and financial information, medications, and other treatment information. The CE notified HHS, affected individuals, the media, and posted substitute notice on its website. In response to the breach, the CE offered free credit monitoring services and implemented additional administrative, technical, and security safeguards.</t>
  </si>
  <si>
    <t>Bienville Orthopaedic Specialists LLC</t>
  </si>
  <si>
    <t>The covered entity (CE), Bienville Orthopaedic Specialists, reported that it experienced a ransomware that compromised the protected health information (PHI) of 242,986 individuals. The PHI involved included names, addresses, telephone numbers, dates of birth, drivers' license and Social Security numbers, and claims and financial information. The CE notified HHS, affected individuals, the media, and provided substitute notice on its website. In its mitigation efforts, the CE implemented additional administrative, technical, and security safeguards to better protect its PHI. Staff were retrained on the requirement to protect and secure sensitive data. OCR provided technical assistance regarding the timeliness requirements of the HIPAA Breach Notification Rule.</t>
  </si>
  <si>
    <t>The covered entity (CE), Bloom Health Centers, reported that an employee was the subject of an email phishing scheme that compromised the protected health information (PHI) of 1,545 individuals. The PHI involved included Social Security numbers, addresses, dates of birth, diagnoses, and medications. The CE notified HHS, the affected individuals, the media, and provided substitute notice. In response to the breach, the CE provided complimentary credit monitoring services and implemented additional administrative, technical, and security safeguards to better protect its PHI.</t>
  </si>
  <si>
    <t>MedMinder Systems, Inc.</t>
  </si>
  <si>
    <t>The covered entity (CE), MedMinder Systems, reported that it experienced a cyber-attack that compromised the protected health information (PHI) of 12,146 individuals. The PHI involved included dates of birth and medications. The CE notified HHS, affected individuals, the media, and posted substitute notice on its website. In response to the breach, the CE offered free credit monitoring services and implemented additional administrative, technical, and security safeguards. The CE retrained its staff on the requirement to protect and secure PHI.</t>
  </si>
  <si>
    <t>Enzo Clinical Labs, Inc.</t>
  </si>
  <si>
    <t>The covered entity (CE), Enzo Clinical Labs, reported that a software application exposed the protected health information (PHI) of 1,700 individuals. The PHI involved included names, Social Security numbers, and treatment information. The CE notified HHS, the affected individuals, the media, and provided substitute notice. In response to the breach, the CE provided complimentary credit monitoring services. The CE sold all assets and is no longer in operation.</t>
  </si>
  <si>
    <t>Mountain View Family Practice, PC</t>
  </si>
  <si>
    <t>The covered entity (CE), Mountain View Family Practice, reported that it was the subject of a ransomware attack that affected the protected health information (PHI) of 5,139 individuals. The PHI involved included names, addresses, dates of birth, Social Security numbers, diagnoses, lab results, medications, and claims and other treatment information. The CE notified HHS, the affected individuals, and the media. In response to the breach, the CE provided complimentary credit monitoring services and implemented additional administrative, technical, and security safeguards.</t>
  </si>
  <si>
    <t>The covered entity (CE), Indiana University Health, reported that a vendor of its business associate (BA) experienced a cyber-attack that compromised the protected health information (PHI) of 1,191 individuals. The PHI involved included names, Social Security numbers, addresses, birthdates, claims information, and other treatment information. The CE and BA notified HHS, affected individuals, the media, and provided substitute notice. In its mitigation efforts, the CE and BA strengthened its administrative and technical safeguards and provided complimentary credit monitoring services.</t>
  </si>
  <si>
    <t>TTEC Healthcare Solutions</t>
  </si>
  <si>
    <t>The business associate (BA), TTEC Healthcare Solutions, reported that one of its employees impermissibly shared access to the protected health information (PHI) of 2,953 individuals with an unauthorized individual. The PHI involved included names, Social Security numbers, addresses, drivers' license numbers, and dates of birth. The CE notified HHS, affected individuals, the media, and provided substitute notice. In response to the breach, the BA provided complimentary credit monitoring services and implemented additional administrative and technical safeguards to better protect PHI.</t>
  </si>
  <si>
    <t>O'Neil Digital Solutions, LLC</t>
  </si>
  <si>
    <t>The business associate (BA), O'Neil Digital Solutions, reported that a workforce member mailed the protected health information (PHI) of 1,722 individuals to the wrong recipients. The PHI involved included names, dates of birth, and health insurance information. The BA notified HHS, affected individuals, the media, and provided substitute notice. In response to the breach, the BA sanctioned the workforce member and strengthened its administrative safeguards. OCR provided technical assistance to the CE regarding the HIPAA Rules.</t>
  </si>
  <si>
    <t>The business associate (BA), Data Media Associates, reported that a software application exposed the protected health information (PHI) of 100,644 individuals. The PHI involved included names, addresses, Social Security numbers, and health insurance information. The BA notified HHS, the affected individuals, the media, and provided substitute notice. In response to the breach, the BA strengthened its technical safeguards.</t>
  </si>
  <si>
    <t>Detroit Central City Community Mental Health</t>
  </si>
  <si>
    <t>Detroit Central City Community Mental Health, the covered entity (CE), reported that several employees were the subjects of an email phishing scheme that compromised the protected health information (PHI) of 1,412 individuals. The PHI involved included names, addresses, dates of birth, Social Security numbers, and diagnoses. The CE notified HHS, the affected individuals, and the media. In response to the breach, the CE implemented additional administrative and technical safeguards. OCR provided technical assistance regarding the HIPAA Rules.</t>
  </si>
  <si>
    <t>IEC Group, Inc. dba AmeriBen</t>
  </si>
  <si>
    <t>IEC Group dba AmeriBen, the covered entity (CE), reported that an employee inadvertently sent an email to patients that contained the protected health information (PHI) of 74,884 individuals. The PHI involved included names, financial information, and other treatment information. The CE notified HHS, affected individuals, and the media. In response to the breach, the CE sanctioned and retrained the employee responsible for the breach and implemented new administrative safeguards.</t>
  </si>
  <si>
    <t>Milan Eye Center</t>
  </si>
  <si>
    <t>The covered entity (CE), Milan Eye Center, reported that its business associate (BA) experienced a cyber-attack that compromised the protected health information (PHI) of 67,336 individuals. The PHI involved included names, Social Security numbers, dates of birth, phone numbers, and health insurance and other treatment information. The CE notified HHS, affected individuals, the media, and posted substitute notice. In response to the breach, the CE and offered free credit monitoring services.</t>
  </si>
  <si>
    <t>Vecino Health Centers</t>
  </si>
  <si>
    <t>The covered entity (CE), Vecino Health Centers, reported that a software application used by its business associate (BA) exposed the protected health information (PHI) of 1,339 individuals. The PHI involved included names, dates of birth, and treatment information. The CE notified HHS, affected individuals, the media, and provided substitute notice. In response to the breach, the CE and BA implemented additional administrative, technical, and security safeguards to better protect PHI.</t>
  </si>
  <si>
    <t>Serco Inc. Group Health Plan</t>
  </si>
  <si>
    <t>Serco Group Health Plan, the covered entity (CE), reported that its business associate (BA) experienced a ransomware attack and data breach that compromised the protected health information (PHI) of 10,140 individuals. The PHI involved included names, addresses, Social Security numbers, and birthdates. The CE notified HHS, affected individuals, and the media. In its mitigation efforts, the BA implemented additional administrative, technical, and security safeguards to better protect its sensitive data.</t>
  </si>
  <si>
    <t>McAlester Regional Health Center</t>
  </si>
  <si>
    <t>The covered entity (CE), McAlester Regional Health Center, reported that it experienced a ransomware attack that compromised the protected health information (PHI) of 37,731 individuals. The PHI involved included names, Social Security numbers, financial information, and treatment information. The CE notified HHS, affected individuals, the media, and provided substitute notice on its website. In response to the breach, the CE implemented additional administrative and technical safeguards to better protect sensitive data. OCR provided technical assistance regarding the HIPAA Rules.</t>
  </si>
  <si>
    <t>The University of Massachusetts Chan Medical School</t>
  </si>
  <si>
    <t>The covered entity (CE), The University of Massachusetts Chan Medical School, reported that it was the subject of a cyber-attack that affected the protected health information (PHI) of 135,974 individuals. The PHI involved included names, dates of births, addresses, Social Security numbers, diagnoses, medications, financial and claims information, and other treatment information. The CE notified HHS, affected individuals, the media, and provided substitute notice. In response to the breach, the CE provided complimentary credit monitoring services and implemented additional administrative, technical, and security safeguards to better protect its PHI.</t>
  </si>
  <si>
    <t>Health Care Service Corporation</t>
  </si>
  <si>
    <t>The covered entity (CE), Health Care Service Corporation, reported that its business associate (BA) experienced a cyber-attack that compromised the protected health information (PHI) of 220,913 individuals. The PHI involved included names, addresses, email addresses, phone numbers, dates of birth, Social Security numbers, claims and financial information, and other treatment information. The CE notified HHS, affected individuals, and the media. OCR provided technical assistance regarding the HIPAA Privacy Rule.</t>
  </si>
  <si>
    <t>Illinois Department of Public Health</t>
  </si>
  <si>
    <t>UofL Health</t>
  </si>
  <si>
    <t>The covered entity (CE), UofL Health, reported that a software application used by its business associate (BA) exposed the protected health information (PHI) of 8,175 individuals. The PHI involved included names, dates of birth, drivers' license and Social Security numbers, addresses, and treatment information. In response to the breach, the CE and BA provided complimentary credit monitoring services and implemented additional administrative, technical, and security safeguards. Staff were retrained to protect and secure PHI.</t>
  </si>
  <si>
    <t>The covered entity (CE), The Harris Center of Mental Health and IDD, reported that a software application used by its business associate (BA) exposed the protected health information (PHI) of 599,367 individuals. The PHI involved included names, dates of birth, addresses, Social Security numbers, diagnoses, health insurance information, and medical record numbers. The CE notified HHS, affected individuals, the media, and provided substitute notice. In response to the breach, the CE provided complimentary credit monitoring services and implemented additional administrative, technical, and security safeguards to better protect PHI.</t>
  </si>
  <si>
    <t>Blue Cross Blue Shield of Arizona</t>
  </si>
  <si>
    <t>Blue Cross Blue Shield of Arizona, the covered entity (CE), reported that a vendor of its business associate (BA) was the subject of a cybersecurity incident that compromised the protected health information (PHI) of 47,485 individuals. The PHI involved included names, dates of birth, addresses, Social Security numbers, and financial information. The CE notified HHS; the BA notified affected individuals and the media. In its mitigation efforts, the BA and vendor implemented new technical safeguards, provided affected individuals with free credit monitoring, and revised its policies and procedures. The CE implemented new security measures to prevent similar attacks from occurring in the future.</t>
  </si>
  <si>
    <t>SysInformation Healthcare Services, LLC</t>
  </si>
  <si>
    <t>SysInformation Healthcare Services, the covered entity (CE) reported that it experienced a ransomware attack that compromised the protected health information (PHI) of 537,987 individuals. The PHI involved included names, claims information, and treatment information. The CE notified HHS, affected individuals, and the media. In its mitigation efforts, the CE implemented additional administrative, technical, and security safeguards to better protect its sensitive data.</t>
  </si>
  <si>
    <t>Baesman Group, Inc.</t>
  </si>
  <si>
    <t>The business associate (BA), Baesman Group, reported that a software application exposed the protected health information (PHI) of 1,170,094 individuals. The PHI involved included names, dates of birth, and addresses. The BA notified HHS, affected individuals, the media, and provided substitute notice. In response to the breach, the BA strengthened its administrative and technical safeguards to better protect PHI. OCR provided technical assistance regarding the HIPAA Rules.</t>
  </si>
  <si>
    <t>A-Family Dental Care Center PC</t>
  </si>
  <si>
    <t>Kennedy University Hospital, Inc. t/a Jefferson Health</t>
  </si>
  <si>
    <t>Kennedy University Hospital t/a Jefferson Health, the covered entity (CE), reported that an employee lost an external hard drive for a medical imaging device. The device contained the protected health information (PHI) of 4,140 individuals. The PHI involved included names, dates of birth, phone numbers, addresses, medical record numbers, and treatment information. The CE notified HHS, affected individuals, the media, and provided substitute notice on its website. In its mitigation efforts, the CE implemented additional administrative, technical, and security safeguards to better protect its sensitive data.</t>
  </si>
  <si>
    <t>Performance Health Technology</t>
  </si>
  <si>
    <t>The covered entity (CE), Performance Health Technology, reported that it was the victim of a hacking attack affecting the protected health information (PHI) of 1,752,076 individuals. The PHI involved include names, dates of birth, addresses, Social Security numbers, diagnoses, and other treatment information. The CE notified HHS, affected individuals, the media, and provided substitute notice. In response to the breach, the CE implemented additional administrative and technical safeguards and provided complimentary credit monitoring services to affected individuals.</t>
  </si>
  <si>
    <t>University of Utah Health</t>
  </si>
  <si>
    <t>The covered entity (CE), University of Utah Health, reported that a software application used by its business associate (BA) exposed the protected health information (PHI) of 8,606 individuals. The PHI involved included names, dates of birth, addresses, Social Security numbers, financial and claims information, and treatment information. The CE notified HHS, the affected individuals, the media, and provided substitute notice. In response to the breach, the CE provided complimentary credit monitoring services and the CE and BA implemented additional administrative, technical, and security safeguards to better protect PHI.</t>
  </si>
  <si>
    <t>United Bankshares, Inc.</t>
  </si>
  <si>
    <t>The business associate (BA), United Bankshares, reported that it experienced a cyber-attack that compromised the protected health information (PHI) of 8,801 individuals. The PHI involved included names, addresses, dates of birth, telephone numbers, Social Security numbers, driver's license numbers, diagnoses, lab results, medications, claims and financial information, and other treatment information. The BA notified HHS, affected individuals, the media, and provided substitute notice. In response to the breach, the BA installed manufacturer-provided software patches and implemented additional technical safeguards to better protect its sensitive data.</t>
  </si>
  <si>
    <t>American National Group, LLC</t>
  </si>
  <si>
    <t>American National Group, the covered entity (CE), reported that it was the victim of a ransomware attack which compromised the protected health information (PHI) of 47,711 individuals. The PHI involved included names, addresses, dates of birth, and Social Security numbers. In response, the CE implemented additional administrative and technical safeguards to enhance the security of PHI it maintains.</t>
  </si>
  <si>
    <t>Colorado Department of Health Care Policy &amp; Financing</t>
  </si>
  <si>
    <t>The covered entity (CE), Colorado Department of Health Care Policy &amp; Financing, reported that a software application used by its business associate (BA) exposed the protected health information (PHI) of 4,091,794 individuals. The PHI involved included names, dates of birth, addresses, Social Security numbers, diagnoses, claims and health insurance information, and other treatment information. The CE notified HHS, affected individuals, the media, and provided substitute notice. In response to the breach, the CE provided complimentary credit monitoring services and the CE and BA implemented additional administrative, technical, and security safeguards to better protect PHI.</t>
  </si>
  <si>
    <t>EMS Management and Consultants Inc</t>
  </si>
  <si>
    <t>The business associate (BA), EMS Management and Consultants, reported that it experienced a ransomware attack that compromised the protected health information (PHI) of 223,598 individuals. The PHI involved included names, addresses, dates of birth, Social Security numbers, and financial and other treatment information. The BA notified HHS, affected individuals, the media, and posted substitute notice on its website. In its mitigation efforts, the BA implemented additional administrative, technical, and security safeguards to better protect PHI.</t>
  </si>
  <si>
    <t>Madera County</t>
  </si>
  <si>
    <t>The covered entity (CE) Madera County, reported that an employee of its business associate's (BA) vendor emailed the protected health information (PHI) of 1,446 individuals to the wrong recipient. The PHI involved included names, dates of birth, health insurance information, financial information, and other identifying information. The CE notified HHS, affected individuals, the media, and provided substitute notice. In response to the breach, the vendor retrained its employees and implemented additional security and technical safeguards. OCR provided technical assistance regarding the HIPAA Rules.</t>
  </si>
  <si>
    <t>Sovos Compliance LLC</t>
  </si>
  <si>
    <t>The covered entity (CE), Sovos Compliance, reported that a vulnerability was detected in its business associate's (BA) software application that impacted the protected health information (PHI) of 18,261 individuals. The PHI involved included names, Social Security numbers, addresses, dates of birth, email addresses, and financial and claims information. The CE notified HHS, affected individuals, the media, and posted substitute notice. In response to the breach, the CE provided complimentary credit monitoring services and the CE and BA implemented additional administrative, technical, and security safeguards to better protect PHI.</t>
  </si>
  <si>
    <t>Lurie Children's Surgical Foundation</t>
  </si>
  <si>
    <t>Lurie Children's Surgical Foundation, a covered entity (CE), reported that its business associate (BA) experienced a cyber-attack that compromised the protected health information (PHI) of 1,997 individuals. The PHI involved included names, addresses, dates of birth, and Social Security numbers. The CE notified HHS and the media; the BA notified affected individuals. In its mitigation efforts, the CE provided complimentary credit monitoring services.</t>
  </si>
  <si>
    <t>Premera Blue Cross</t>
  </si>
  <si>
    <t>The covered entity (CE), Premera Blue Cross, reported that a software application used by its business associate (BA) exposed the protected health information (PHI) of 33,212 individuals. The PHI involved included names, addresses, dates of birth, phone numbers, and health insurance information. The CE notified HHS, the affected individuals, the media, and provided substitute notice. In response to the breach, the CE and BA implemented additional administrative and technical safeguards to better protect PHI.</t>
  </si>
  <si>
    <t>Spinal and Sports Care Clinic PS</t>
  </si>
  <si>
    <t>The covered entity (CE), Spinal and Sports Care Clinic, reported that it experienced a ransomware attack that affected the protected health information (PHI) of 1,136 individuals. The PHI involved included name, addresses, phone numbers, and health insurance and financial information. The CE notified HHS, affected individuals, and the media. In its mitigation efforts, the CE provided complimentary credit monitoring services and updated its administrative, technical, and security safeguards to better protect its sensitive data.</t>
  </si>
  <si>
    <t>Missouri Department of Social Services</t>
  </si>
  <si>
    <t>The covered entity (CE), Missouri Department of Social Services, reported that a software application used by its business associate (BA) exposed the protected health information (PHI) of 739,884 individuals. The PHI involved included names, dates of birth, claims information, and health insurance information. The CE notified HHS, the affected individuals, the media, and provided substitute notice. In response to the breach, the CE and BA implemented additional administrative, technical, and security safeguards to better protect its PHI.</t>
  </si>
  <si>
    <t>Redwood Coast Regional Center, the covered entity (CE), reported that emails that contained the protected health information (PHI) of 1,345 individuals were sent without encryption during a network outage. The PHI involved included names, addresses, dates of birth, and other identifiers. The CE notified HHS, affected individuals, and the media. In its mitigation efforts, the CE revised its policies and procedures, retrained its workforce members, and implemented additional technical safeguards.</t>
  </si>
  <si>
    <t>Gary Motykie, M.D., a Medical Corporation</t>
  </si>
  <si>
    <t>Gary Motykie, M.D., reported that an employee was the subject of an email phishing scheme. After further review it was determined that the entity is not a covered entity; therefore, the case was closed without investigation.</t>
  </si>
  <si>
    <t>The covered entity (CE), Indiana University Health, reported that its business associate (BA) experienced a cyber-attack affecting the protected health information (PHI) of 21,383 individuals. The PHI involved included names, and health insurance and financial information. The CE notified HHS, affected individuals, the media, and provided substitute notice. In response to the breach, the CE provided complimentary credit monitoring services and implemented additional administrative and technical safeguards to better protect its PHI.</t>
  </si>
  <si>
    <t>Capital Neurological Surgeons</t>
  </si>
  <si>
    <t>The covered entity (CE), Capital Neurological Surgeons, reported that an employee was the subject of an email phishing scheme that compromised the protected health information (PHI) of 1,769 individuals. The PHI involved included names, dates of birth, drivers' license and Social Security numbers, state identification numbers, diagnoses, medications, and health insurance and other treatment information. The CE notified HHS, affected individuals, the media, and posted substitute notice to its website. In its mitigation efforts, the CE provided complimentary credit monitoring services and implemented additional administrative and technical safeguards to better protect PHI.</t>
  </si>
  <si>
    <t>Cognizant Technologies Solutions</t>
  </si>
  <si>
    <t>The business associate (BA), Cognizant Technologies Solutions, reported that it experienced a cybersecurity incident that compromised the protected health information (PHI) of 7,313 individuals. The PHI involved included names, dates of birth, addresses, Social Security numbers, and claims and financial information. The BA notified HHS, affected individuals, and the media. In response to the breach, the BA provided complimentary credit monitoring services and implemented additional administrative, technical, and security safeguards to better protect PHI.</t>
  </si>
  <si>
    <t>The Health Plan of West Virginia, Inc.</t>
  </si>
  <si>
    <t>The Health Plan of West Virginia, the covered entity (CE), reported that its business associate (BA) experienced a cybersecurity incident that compromised the protected health information (PHI) of 1,292 individuals. The PHI involved included names, addresses, phone numbers, and health insurance and financial information. The CE notified HHS, affected individuals, the media, and posted substitute notice on its website. In its mitigation efforts, the BA implemented additional technical safeguards and provided complimentary credit monitoring services.</t>
  </si>
  <si>
    <t>Johns Hopkins Health System Corporation</t>
  </si>
  <si>
    <t>John Hopkins Health System Corporation, the covered entity (CE), reported that it experienced a malware attack that compromised the protected health information (PHI) of 2,584 individuals. The PHI involved included names, addresses, birthdates, and treatment information. The CE notified HHS, affected individuals, the media, and posted substitute notice on its website. In its mitigation efforts, the CE provided complimentary credit monitoring services and implemented additional technical safeguards.</t>
  </si>
  <si>
    <t>Howard County General Hospital</t>
  </si>
  <si>
    <t>The covered entity (CE), Howard County General Hospital, reported that it was the subject of a malware attack that affected the protected health information (PHI) of 2,975 individuals. The PHI involved included names, dates of birth, diagnoses, and other treatment information. The CE notified HHS, affected individuals, and the media. In response to the breach, the CE provided complimentary credit monitoring services and implemented additional administrative, technical, and security safeguards to better protect PHI.</t>
  </si>
  <si>
    <t>Synergy Healthcare Services</t>
  </si>
  <si>
    <t>The covered entity (CE), Synergy Healthcare Services, reported that it was the subject of a ransomware attack that affected the protected health information (PHI) of 296,956 individuals. The PHI involved included names, dates of birth, addresses, drivers' license and Social Security numbers, diagnoses, medications, lab results, financial and claims information, and other treatment information. The CE notified HHS, affected individuals, the media, and provided substitute notice. In response to the breach, the CE provided complimentary credit monitoring services and implemented additional administrative, technical, and security safeguards to better protect its PHI.</t>
  </si>
  <si>
    <t>UC Davis Health</t>
  </si>
  <si>
    <t>The covered entity (CE), UC Davis Health, reported that an employee was the subject of an email phishing attack that compromised the protected health information (PHI) of 3,201 individuals. The PHI involved included names, dates of birth, Social Security numbers, diagnoses, and medications. The CE notified HHS, affected individuals, the media, and provided substitute notice. In response to the breach, the CE provided complimentary credit monitoring services and implemented additional administrative, technical, and security safeguards.</t>
  </si>
  <si>
    <t>The covered entity (CE), United Healthcare Services, reported that a software application used by its business associate (BA) exposed the protected health information (PHI) of 398,319 individuals. The PHI involved included names, dates of birth, addresses, Social Security numbers, diagnoses, claims and health insurance information, and other treatment information. The CE notified HHS, the affected individuals, the media, and provided substitute notice. In response to the breach, the CE provided complimentary credit monitoring services and the CE and BA implemented additional administrative, technical, and security safeguards to better protect its PHI.</t>
  </si>
  <si>
    <t>Jefferson County Health Center</t>
  </si>
  <si>
    <t>The covered entity (CE), Jefferson County Health Center, reported that it was the subject of a ransomware attack that affected the protected health information (PHI) of 53,827 individuals. The PHI involved included names, dates of birth, Social Security numbers, claims information, diagnoses, medications, and other treatment information. The CE notified HHS, the affected individuals, the media, and provided substitute notice. In response to the breach, the CE provided complimentary credit monitoring services and implemented additional administrative, technical, and security safeguards to better protect its PHI.</t>
  </si>
  <si>
    <t>Allegheny County</t>
  </si>
  <si>
    <t>Allegheny County, the covered entity (CE), reported that its business associate (BA) experienced a cyber-attack that compromised the protected health information (PHI) of 689,686 individuals. The PHI involved included names, addresses, phone numbers, Social Security numbers, dates of birth, drivers' license numbers, diagnoses, claims information, and other treatment information. The CE notified HHS, affected individuals, the media, and posted substitute notice on its website. In response to the incident, the CE and BA strengthened its administrative, technical, and security safeguards to better protect PHI.</t>
  </si>
  <si>
    <t>Gladden Farms Family Dentistry</t>
  </si>
  <si>
    <t>The covered entity (CE), Gladden Farms Family Dentistry, reported that it experienced a cyber-attack that compromised the protected health information (PHI) of 3,085 individuals. The PHI involved included names, dates of birth, Social Security numbers, medication information, lab results, diagnoses, and health insurance information. The CE notified HHS, affected individuals, and the media. In response to the breach, the CE strengthened its policies and procedures, implemented additional technical safeguards, and retrained its staff. OCR provided technical assistance regarding the HIPAA Rules.</t>
  </si>
  <si>
    <t>Saint Francis Health System</t>
  </si>
  <si>
    <t>Saint Francis Health System, the covered entity (CE), reported that its BA experienced a cyber-attack that compromised the protected health information (PHI) of 18,911 individuals. The PHI involved included names, date of births, and treatment information. The CE notified HHS, affected individuals, the media, and provided substitute notice. In response to the breach, the CE and BA implemented additional administrative, technical, and security safeguards to better protect PHI.</t>
  </si>
  <si>
    <t>Hillsborough County, Florida (County Government)</t>
  </si>
  <si>
    <t>The covered entity (CE), Hillsborough County, Florida, reported that a software application exposed the protected health information (PHI) of 70,636 individuals. The PHI involved included names, dates of birth, addresses, Social Security numbers, drivers' license numbers, claims and financial information, diagnoses/conditions, lab results, medications, and other treatment information. The CE notified HHS, the affected individuals, the media, and provided substitute notice. In response to the breach, the CE implemented additional administrative, technical, and security safeguards to better protect its PHI.</t>
  </si>
  <si>
    <t>The covered entity (CE), BlueCross BlueShield of Tennessee, reported that due to a computer error an employee inadvertently mailed the protected health information (PHI) of 2,688 individuals to the wrong recipients. The PHI involved included names, addresses, health insurance information, claims information, and other treatment information. The CE notified HHS, affected individuals, the media, and provided substitute notice. In its mitigation efforts, the CE strengthened its administrative and technical safeguards.</t>
  </si>
  <si>
    <t>Johns Hopkins Medicine</t>
  </si>
  <si>
    <t>John Hopkins Medicine, the covered entity (CE), reported that it experienced a malware attack that compromised the protected health information (PHI) of 310,405 individuals. The PHI involved included names, addresses, birthdates, diagnoses, Social Security numbers, and claims information. The CE notified HHS, affected individuals, the media, and posted substitute notice on its website. In its mitigation efforts, the CE provided complimentary credit monitoring services and implemented additional administrative and technical safeguards.</t>
  </si>
  <si>
    <t>Harris County Hospital District d/b/a Harris Health System</t>
  </si>
  <si>
    <t>The covered entity (CE), Harris County Hospital District dba Harris Health System, reported that a software application exposed the protected health information (PHI) of 455,676 individuals. The PHI involved included names, dates of birth, addresses, Social Security and drivers' license numbers, diagnoses, lab results, medications, and other treatment information. The CE notified HHS, the affected individuals, the media, and provided substitute notice. In response to the breach, the CE provided complimentary credit monitoring services and implemented additional administrative, technical, and security safeguards to better protect PHI.</t>
  </si>
  <si>
    <t>Rite Aid Corporation</t>
  </si>
  <si>
    <t>The covered entity (CE), Rite Aid Corporation, reported that it experienced a cyber-attack that compromised the protected health information (PHI) of 23,433 individuals. The PHI involved included names, dates of birth, addresses, medications, and health insurance information. The CE notified HHS, affected individuals, the media, and provided substitute notice. In response to the breach, the CE installed manufacturer-provided software patches and implemented additional technical safeguards to better protect sensitive data.</t>
  </si>
  <si>
    <t>Physicians Insurance A Mutual Company</t>
  </si>
  <si>
    <t>The business associate (BA), Physician Insurance A Mutual Company, reported that an employee was the victim of an email phishing scheme that compromised the protected health information (PHI) of 1,852 individuals. The PHI involved included names, Social Security numbers, dates of birth, health insurance information, and other treatment information. The BA notified HHS, affected individuals, and the media. In response to the breach the BA provided complimentary credit monitoring services and implemented new administrative and technical safeguards.</t>
  </si>
  <si>
    <t>Stephen Harkins, DDS, PC, dba: Harkins Pain &amp; Sleep Management Group</t>
  </si>
  <si>
    <t>The covered entity (CE), Stephen Harkins, DDS dba Harkins Pain &amp; Sleep Management Group, reported that it experienced a ransomware attack affecting the protected health information (PHI) of 6,411 individuals. The PHI involved included names and other treatment information. The CE notified HHS, affected individuals, the media, and provided substitute notice on its website. In response to the breach, the CE implemented additional technical and administrative safeguards.</t>
  </si>
  <si>
    <t>Tahoe Forest Hospital District</t>
  </si>
  <si>
    <t>The covered entity (CE), Tahoe Forest Hospital District, reported that an employee of its business associate (BA) inadvertently mailed the protected health information (PHI) of 1,119 individuals to the wrong recipients. The PHI involved included names, addresses, dates of birth, health insurance information, and other treatment information. The CE notified HHS, affected individuals, the media, and provided substitute notice. In response to the breach, the CE updated its policies and retrained its employees.</t>
  </si>
  <si>
    <t>Fairfax Oral and Maxillofacial Surgery</t>
  </si>
  <si>
    <t>The covered entity (CE), Fairfax Oral and Maxillofacial Surgery, reported that it experienced a cybersecurity incident that affected the protected health information (PHI) of 235,931 individuals. The PHI involved included names, addresses, dates of birth, driver's license numbers, diagnoses/conditions, health insurance information, medical history information and Social Security numbers. The CE notified HHS, the affected individuals, and the media. In response to the breach, the CE provided complimentary credit monitoring services to the affected individuals, implemented additional administrative, technical, and security safeguards to better protect its PHI.</t>
  </si>
  <si>
    <t>Pension Benefit Information, LLC</t>
  </si>
  <si>
    <t>The business associate (BA), Pension Benefit Information, reported that its third-party vendor experienced a cyber incident that affected the protected health information (PHI) of 1,866,694 individuals. The PHI involved included names, Social Security numbers, addresses, dates of birth, and health insurance and financial information. The CE notified HHS, affected individuals, the media, and provided substitute notice. In response to the breach, the CE provided complimentary credit monitoring services and implemented additional administrative, technical, and security safeguards to better protect PHI.</t>
  </si>
  <si>
    <t>The Pavillion at Health Park, LLC dba Park Royal Hospital</t>
  </si>
  <si>
    <t>The covered entity (CE), Advanced Care Partners, reported that an employee sent an email with the protected health information (PHI) of 518 individuals to unauthorized individuals. The PHI involved included names, addresses, dates of birth, diagnoses, and medications. The CE notified HHS, the affected individuals, and the media. In response to the breach, the CE implemented additional administrative, technical, and security safeguards. Staff were retrained on the requirement to protect and secure sensitive data.</t>
  </si>
  <si>
    <t>Care N' Care Insurance Company, Inc.</t>
  </si>
  <si>
    <t>Care N' Care Insurance Company, the covered entity (CE), reported that a software application used by its business associate (BA) exposed the protected health information (PHI) of 33,032 individuals. The PHI involved included names, dates of birth, addresses, Social Security numbers, and claims and financial information. The CE notified HHS, affected individuals, and the media.</t>
  </si>
  <si>
    <t>Wake Family Eye Care</t>
  </si>
  <si>
    <t>The covered entity (CE), Wake Family Eye Care, reported that it experienced a ransomware incident that affected the protected health information (PHI) of 14,221 individuals. The PHI involved included names, dates of birth, addresses, Social Security and drivers' license numbers, health insurance information, optical images, and other treatment information. The CE notified HHS, affected individuals, the media, and posted substitute notice on its website. In response to the breach, the CE offered free credit monitoring services and implemented additional administrative, technical, and security safeguards. Staff were also retrained in its requirements to protect and secure PHI.</t>
  </si>
  <si>
    <t>Hines Interests Limited Partnership</t>
  </si>
  <si>
    <t>The covered entity (CE), Hines Interests Limited Partnership, reported that its business associate (BA) experienced a cybersecurity attack that compromised the protected health information (PHI) of approximately 3,000 individuals. The PHI involved included names, addresses, dates of birth, diagnoses, and other treatment information. The CE notified HHS, affected individuals, and the media. In response to the breach the CE provided complimentary credit monitoring services to affected individuals.</t>
  </si>
  <si>
    <t>Molina Healthcare</t>
  </si>
  <si>
    <t>Molina Healthcare, the covered entity (CE), reported that its business associate (BA) experienced a hacking attack that compromised the protected health information (PHI) of 7,702 individuals. The PHI involved included names, dates of birth, and health insurance information. The CE notified HHS, affected individuals, and the media. In response to the breach, the CE provided complimentary identity theft protection to affected individuals. OCR provided technical assistance regarding the HIPAA Rules.</t>
  </si>
  <si>
    <t>Charles George Department of Veterans Affairs Medical Center</t>
  </si>
  <si>
    <t>The covered entity (CE), Charles George Department of Veterans Affairs Medical Center, reported that an employee sent multiple emails that contained the protected health information (PHI) of 1,541 individuals to the wrong recipients. The PHI involved included names, dates of birth, Social Security numbers, diagnoses, and financial information. The CE notified HHS, affected individuals, and the media. In its mitigation efforts, the CE revised its policies and procedures and retrained its staff.</t>
  </si>
  <si>
    <t>The Vitality Group, LLC</t>
  </si>
  <si>
    <t>The business associate (BA), The Vitality Group, reported that a software application exposed the protected health information (PHI) of 20,387 individuals. The PHI involved included names, dates of birth, addresses, and Social Security numbers. The BA notified HHS and the affected individuals. In response to the breach, the BA provided complimentary credit monitoring services and implemented additional administrative, technical, and security safeguards to better protect PHI.</t>
  </si>
  <si>
    <t>Arizona State Urological Institute</t>
  </si>
  <si>
    <t>The covered entity (CE), Arizona State Urological Institute, reported that an employee impermissibly sent an email containing the protected health information (PHI) of 1,626 individuals to her personal email account. The PHI involved included names, dates of birth, and treatment information. The CE notified HHS, affected individuals, and the media. In its mitigation efforts, the CE sanctioned the employee, worked with local law enforcement, conducted retraining, and added administrative safeguards. OCR provided technical assistance regarding the HIPAA Rules.</t>
  </si>
  <si>
    <t>Norton Healthcare Inc.</t>
  </si>
  <si>
    <t>The covered entity (CE), Norton Healthcare, reported that it experienced a ransomware incident that affected the protected health information (PHI) of 2.5 million individuals. The PHI involved included names, addresses, dates of birth, Social Security numbers, and financial and health insurance information. The CE notified HHS, affected individuals, the media, and posted substitute notice on its website. In response to the breach, the CE offered free credit monitoring services and implemented additional administrative, technical, and security safeguards.</t>
  </si>
  <si>
    <t>edgeMED Healthcare, LLC</t>
  </si>
  <si>
    <t>The business associate (BA), edgeMED Healthcare, reported that it experienced a hacking incident that affected the protected health information (PHI) of 6,700 individuals. The PHI involved included names and treatment information. The BA notified HHS, affected individuals, and the media. In response to the breach, the BA enhanced its existing security protocols, added additional security measures, and implemented new technical safeguards.</t>
  </si>
  <si>
    <t>Phoenician Medical Center, Inc</t>
  </si>
  <si>
    <t>The covered entity, Phoenician Medical Center, reported that its network was hacked and compromised by ransomware that affected the protected health information (PHI) of 163,532 individuals. The PHI involved included names, state identification, dates of birth, diagnoses, medications, health insurance information, and other treatment information. The CE notified HHS, affected individuals, the media, and provided substitute notice. In its mitigation efforts, the CE provided complimentary credit monitoring services and strengthened its administrative, technical, and security safeguards to better protect its sensitive data.</t>
  </si>
  <si>
    <t>Mountain View Hospital</t>
  </si>
  <si>
    <t>Mountain View Hospital, the covered entity (CE), reported that it experienced a ransomware attack that compromised the protected health information (PHI) of 441,903 individuals. The PHI involved included names, addresses, dates of birth, drivers' license and Social Security numbers, health insurance Information, lab results, medications, diagnoses, and additional treatment information. The CE notified HHS, affected individuals, the media, and posted substitute notice on its website. In its mitigation efforts, the CE retrained its workforce members and implemented additional administrative and technical safeguards.</t>
  </si>
  <si>
    <t>Arizona Health Care Cost Containment System</t>
  </si>
  <si>
    <t>The covered entity (CE), the Arizona Health Care Cost Containment System, reported that a computer programming error allowed individuals to view the protected health information (PHI) of 2,632 individuals via the Internet. The PHI involved included names, addresses, dates of birth, Social Security numbers, and other identifiers. The CE notified HHS, affected individuals, and the media. In its mitigation efforts, the strengthened its technical safeguards to better protect sensitive data. OCR provided technical assistance regarding the HIPAA Rules.</t>
  </si>
  <si>
    <t>Deanco Healthcare LLC dba Mission Community Hospital</t>
  </si>
  <si>
    <t>The covered entity (CE), Deanco Healthcare dba Mission Community Hospital, reported that it experienced a ransomware incident that affected the protected health information (PHI) of 269,847 individuals. The PHI involved included names, dates of birth, drivers' license information, Social Security numbers, claims information, diagnoses, medications, and other treatment information. The CE notified HHS, affected individuals, the media, and posted substitute notice on its website. In response to the breach, the CE offered free credit monitoring to affected individuals and implemented additional technical safeguards to better protect its PHI. OCR provided technical assistance regarding the HIPAA Rules.</t>
  </si>
  <si>
    <t>Imagine360</t>
  </si>
  <si>
    <t>The business associate (BA), Imagine360, reported that two of its vendors experienced a cyber-attack that compromised the protected health information (PHI) of 132,807 individuals. The PHI involved included names, addresses, dates of birth, drivers' license and Social Security numbers, financial information, and diagnoses. The BA notified HHS, affected individuals, the media, and provided substitute notice on its website. In response to the breach, the BA offered identity protection services and the BA implemented additional technical safeguards.</t>
  </si>
  <si>
    <t>Orrick, Herrington &amp; Sutcliffe LLP</t>
  </si>
  <si>
    <t>The business associate (BA), Orrick, Herrington, and Sutcliffe, reported that it experienced a cyber-attack that compromised the protected health information (PHI) of 342,176 individuals. The PHI involved included names, health insurance information, diagnoses, email addresses, phone numbers Social Security numbers, birthdates, and home addresses. The BA notified HHS, affected individuals, the media, and provided substitute notice. In response to the breach, the BA provided complimentary credit monitoring services and implemented additional administrative and technical safeguards to better protect PHI.</t>
  </si>
  <si>
    <t>Recovery Centers of America</t>
  </si>
  <si>
    <t>The covered entity (CE), Recovery Centers of America, reported that its business associate (BA) was the victim of a ransomware attack affecting the protected health information (PHI) of 2,220 individuals. The PHI involved included names, addresses, and dates of birth. The CE notified HHS, affected individuals, the media, and provided substitute notice. In response to the breach, the BA implemented additional technical safeguards.</t>
  </si>
  <si>
    <t>Partnership Health Center</t>
  </si>
  <si>
    <t>The covered entity (CE), Partnership Health Center, reported that an employee sent inaccurate patient data to a third-party survey vendor who then emailed the protected health information (PHI) of 8,331 individuals to the wrong recipients. The PHI involved included names. The CE notified HHS, the affected individuals, the media, and provided substitute notice. In response to the breach, the CE implemented additional administrative and technical security safeguards. Staff were retrained on methods to better protect PHI.</t>
  </si>
  <si>
    <t>Itasca County Health &amp; Human Services</t>
  </si>
  <si>
    <t>The covered entity (CE), Itasca County Health &amp; Human Services, reported that an employee experienced an email phishing incident that affected the protected health information (PHI) of 1,413 individuals. The PHI involved included names, Social Security and drivers' license numbers, diagnoses, lab results, medications, addresses, birthdates, and claims and other treatment information. The CE notified HHS, affected individuals, the media, and posted substitute notice on its website. In its mitigation efforts, the CE provided free credit monitoring services and created a toll-free number for questions or concerns. In addition, the CE implemented additional administrative and technical safeguards to better protect its PHI. Staff were retrained on email security.</t>
  </si>
  <si>
    <t>Tidewater Diagnostic Imaging, Ltd.</t>
  </si>
  <si>
    <t>The covered entity (CE), Tidewater Diagnostic Imaging, reported that its business associate (BA) was the victim of a hacking attack affecting the protected health information (PHI) of 40,195 individuals. The PHI involved included names, Social Security numbers, dates of service, and other treatment information. The CE notified HHS, affected individuals, the media, and posted substitute notice on its website. In its mitigation efforts, the CE and BA implemented additional administrative, technical and security safeguards to better protect its sensitive data.</t>
  </si>
  <si>
    <t>University of Pittsburgh Medical Center</t>
  </si>
  <si>
    <t>The covered entity (CE), University of Pittsburgh Medical Center, reported that its business associate (BA) was the victim of a ransomware attack affecting the protected health information (PHI) of 1,533 individuals. The PHI involved included names, dates of birth, addresses, and Social Security numbers. The CE notified HHS, affected individuals, the media, and posted substitute notice on its website. In response to the breach, the CE strengthened its technical safeguards and provided complimentary credit monitoring services to affected individuals.</t>
  </si>
  <si>
    <t>Senior Choice dba The Atrium; Beacon Ridge; and The Patriot</t>
  </si>
  <si>
    <t>The covered entity (CE), Senior Choice dba The Atrium; Beacon Ridge; and The Patriot, reported that its business associate (BA) was the target of a ransomware attack that affected the protected health information (PHI) of 5,057 individuals. The PHI involved included names, Social Security numbers, addresses, drivers' license numbers, dates of birth, diagnoses, lab results, medications, and financial and claims information. The CE notified HHS and the affected individuals. In response to the breach, the CE and BA implemented additional administrative, technical, and security safeguards to better protect PHI.</t>
  </si>
  <si>
    <t>The Williamsport Home</t>
  </si>
  <si>
    <t>The covered entity (CE), The Williamsport Home, reported that its business associate (BA) was the subject of a ransomware attack that affected the protected health information (PHI) of 3,660 individuals. The PHI involved included names, Social Security and drivers' license numbers, addresses, dates of birth, diagnoses, lab results, medications, and financial and claims information. The CE notified HHS and the affected individuals. In response to the breach, the CE and BA implemented additional administrative, technical, and security safeguards to better protect PHI.</t>
  </si>
  <si>
    <t>The MetroHealth System</t>
  </si>
  <si>
    <t>The covered entity (CE), The MetroHealth System, reported that an employee impermissibly accessed the protected health information (PHI) of 1,230 individuals. The PHI involved included names, dates of birth, medical images, lab results, and other treatment information. The CE notified HHS and affected individuals. In response to the breach, the CE sanctioned the employee, implemented additional technical safeguards, and set up a call center for questions or concerns.</t>
  </si>
  <si>
    <t>Limbach Facility Services LLC Group Benefit Plan</t>
  </si>
  <si>
    <t>The covered entity (CE), Limbach Facility Services Group Benefit Plan, reported that it was the subject of a ransomware attack that affected the protected health information (PHI) of 1,392 individuals. The PHI involved included names and Social Security numbers. The CE notified HHS, the affected individuals, and provided substitute notice. In response to the breach, the CE provided complimentary credit monitoring services and implemented additional administrative, technical, and security safeguards.</t>
  </si>
  <si>
    <t>City of San Luis</t>
  </si>
  <si>
    <t>The covered entity (CE), City of San Luis, reported that an employee was subject to an email phishing scheme that affected the protected health information (PHI) of 6,848 individuals. The PHI involved included names, addresses, drivers' license numbers, dates of birth, Social Security numbers, claims information, medications, and diagnoses. The CE notified HHS, affected individuals, the media, and posted substitute notice on its website. In its mitigation efforts, the CE implemented additional administrative, technical, and security safeguards to better protect its PHI.</t>
  </si>
  <si>
    <t>Community Research Foundation</t>
  </si>
  <si>
    <t>Community Research Foundation, the covered entity (CE) and business associate (BA), experienced a cyber-attack that compromised the protected health information (PHI) of 31,104 individuals. The PHI involved included names, addresses, dates of birth, Social Security and drivers' license numbers, diagnoses, and other treatment information. The CE and BA notified HHS, affected individuals, the media, and posted substitute notice on its website. As a result of OCR's investigation, Community Research Foundation implemented new technical safeguards, revised policies and procedures, and provided individuals with free credit monitoring.</t>
  </si>
  <si>
    <t>Quatela Center for Plastic Surgery</t>
  </si>
  <si>
    <t>Quatela Center for Plastic Surgery, the covered entity (CE), reported that an employee emailed the protected health information (PHI) of 1,085 individuals to the wrong recipient. The PHI involved included names and treatment information. The CE notified HHS, affected individuals, and the media. In its mitigation efforts, the CE implemented additional administrative safeguards to better protect sensitive data. Staff were retrained.</t>
  </si>
  <si>
    <t>Kannact, Inc.</t>
  </si>
  <si>
    <t>The covered entity (CE), Kannact, reported that it experienced a ransomware incident that affected the protected health information (PHI) of 109, 210 individuals. The PHI involved included names, addresses, dates of birth, Social Security numbers, and health insurance information. The CE notified HHS, affected individuals, the media, and posted substitute notice on its website. In response to the breach, the CE provided complimentary credit monitoring services and implemented additional administrative, technical, and security safeguards. Staff were also retrained in its requirements to protect and secure PHI.</t>
  </si>
  <si>
    <t>VINCERA IMAGING LLC</t>
  </si>
  <si>
    <t>The covered entity (CE), Vincera Imaging, reported that it experienced a ransomware attack which affected the protected health information (PHI) of approximately 5,000 individuals. The PHI involved included names, addresses, phone numbers, and Social Security numbers. The CE notified HHS, affected individuals, and the media. In response to the breach, the CE implemented additional administrative, technical, and security safeguards to better protect PHI.</t>
  </si>
  <si>
    <t>VINCERA REHAB LLC</t>
  </si>
  <si>
    <t>The covered entity (CE), Vincera Rehab, reported that it experienced a ransomware attack which affected the protected health information (PHI) of approximately 5,000 individuals. The PHI involved included names, addresses, phone numbers, and Social Security numbers. The CE notified HHS, affected individuals, and the media. In response to the breach, the CE implemented additional administrative, technical, and security safeguards to better protect PHI.</t>
  </si>
  <si>
    <t>VINCERA SURGERY CENTER</t>
  </si>
  <si>
    <t>The covered entity (CE), Vincera Surgery Center, reported that it experienced a ransomware attack which affected the protected health information (PHI) of approximately 5,000 individuals. The PHI involved included names, addresses, phone numbers, and Social Security numbers. The CE notified HHS, affected individuals, and the media. In response to the breach, the CE implemented additional administrative, technical, and security safeguards to better protect PHI.</t>
  </si>
  <si>
    <t>CORE PERFORMANCE PHYSICIANS, DBA VINCERA CORE PHYSICIANS</t>
  </si>
  <si>
    <t>The covered entity (CE), Core Performance Physicians dba Vincera Core Physicians, reported that it experienced a ransomware attack which affected the protected health information (PHI) of approximately 10,000 individuals. The PHI involved included names, addresses, phone numbers, and Social Security numbers. The CE notified HHS, affected individuals, and the media. In response to the breach, the CE implemented additional administrative, technical, and security safeguards to better protect PHI.</t>
  </si>
  <si>
    <t>Core Recovery, Inc.</t>
  </si>
  <si>
    <t>Core Recovery, the covered entity (CE), reported that a former employee hacked into its email system and compromised the protected health information (PHI) of 2,656 individuals. The PHI involved included names, diagnoses, lab results, medications, Social Security and drivers' license numbers, addresses, birthdates, and claims and financial information. The CE notified HHS, affected individuals, the media, and provided substitute notice on its website. In response to the breach, the CE implemented additional administrative and technical safeguards.</t>
  </si>
  <si>
    <t>The covered entity (CE), Humana, reported that an employee inadvertently placed the diagnoses of 9,372 individuals on the outside of mailing envelopes. The PHI involved included names, addresses, and diagnoses. The CE notified HHS, affected individuals, and the media. In response to the breach, the CE revised its policies and procedures, retrained its workforce, and sanctioned the employee responsible for the breach.</t>
  </si>
  <si>
    <t>Parker Drilling Company Group Health and Flexible Benefit Plan</t>
  </si>
  <si>
    <t>The covered entity (CE), Parker Drilling Company Group Health and Flexible Benefit Plan, reported that it was the subject of a ransomware attack that affected the protected health information (PHI) of 5,973 individuals. The PHI involved included names, addresses, dates of birth, Social Security and drivers' license numbers, and claims information. The CE notified HHS, the affected individuals, the media, and provided substitute notice. In response to the breach, the CE provided complimentary credit monitoring services and implemented additional administrative, technical, and security safeguards.</t>
  </si>
  <si>
    <t>Commonwealth Health Physician Network - Great Valley Cardiology</t>
  </si>
  <si>
    <t>The covered entity (CE), Commonwealth Health Physician Network ‚Äì Great Valley Cardiology, reported that it experienced a cyber-attack that compromised the protected health information (PHI) of 181,764 individuals. The PHI involved included names, addresses, dates of birth, drivers' license numbers, Social Security numbers, claims and financial information, diagnoses, lab results, medications, and other treatment information. The CE notified HHS, affected individuals, the media, and posted substitute notice on its website. In its mitigation efforts, the CE provided complimentary credit monitoring services and implemented additional administrative, technical, and security safeguards.</t>
  </si>
  <si>
    <t>Idaho Department of Health &amp; Welfare</t>
  </si>
  <si>
    <t>Idaho Department of Health &amp; Welfare, the covered entity (CE), reported that its business associate (BA) experienced a cyber-attack that compromised the protected health information (PHI) of approximately 2,501 individuals. The PHI involved included names and treatment information. The CE notified HHS, affected individuals, and the media. In its mitigation efforts, the CE and BA revised its policies and procedures to better protect PHI.</t>
  </si>
  <si>
    <t>Atlanta Women's Health Group, P.C.</t>
  </si>
  <si>
    <t>Atlanta Women's Health Group, the covered entity (CE), reported that it experienced a ransomware attack that compromised the protected health information (PHI) of 33,839 individuals. The PHI involved included names, dates of birth, addresses, diagnoses, medications, Social Security numbers, and other treatment information. The CE notified OCR, affected individuals, and the media. In response to the breach, the CE implemented additional administrative and technical safeguards and retrained its staff to better protect PHI.</t>
  </si>
  <si>
    <t>HC3, Inc</t>
  </si>
  <si>
    <t>The business associate (BA), HC3, reported that an employee mailed the protected health information (PHI) of 1,105 individuals to the wrong recipients. The PHI involved included names, financial information, medications, health insurance information, and other treatment information. The BA notified HHS, and the affected individuals. In response to the breach the BA implemented additional administrative, technical, and security safeguards to better protect PHI.</t>
  </si>
  <si>
    <t>Valley Obstetrics &amp; Gynecology PC</t>
  </si>
  <si>
    <t>The covered entity (CE), Valley Obstetrics and Gynecology, reported that it experienced a ransomware incident that affected the protected health information (PHI) of 61,327 individuals. The PHI involved included names, addresses, dates of birth, drivers' license and Social Security numbers, diagnoses, medications, and other treatment information. The CE notified HHS, affected individuals, the media, and posted substitute notice on its website. In response to the breach, the CE offered free credit monitoring and fraud assistance services and implemented additional administrative, technical, and security safeguards to better protect its PHI.</t>
  </si>
  <si>
    <t>Marshall &amp; Melhorn, LLC</t>
  </si>
  <si>
    <t>Marshall and Melhorn, a business associate (BA), reported that it experienced a ransomware incident that affected the protected health information (PHI) of 9,412 individuals. The PHI involved included names, addresses, dates of birth, Social Security and drivers' license numbers, and financial and treatment information. The BA notified HHS, affected individuals, the media and posted substitute notice on its website. In response to the breach, the BA offered free credit monitoring services and implemented additional administrative, technical, and security safeguards. OCR provided technical assistance to the BA regarding the HIPAA Security Rule.</t>
  </si>
  <si>
    <t>Utah Medicaid, Division of Integrated Healthcare: Utah Department of Health and Human Services</t>
  </si>
  <si>
    <t>The covered entity (CE), Utah Medicaid, Division of Integrated Healthcare: Utah Department of Health and Human Services, reported an employee of its business associate (BA) mailed the protected health information (PHI) of 5,833 individuals to the wrong recipients. The PHI involved included names, addresses, and health insurance information. The CE notified HHS, the affected individuals, and the media. In response to the breach, the CE provided complimentary credit monitoring services and implemented additional administrative and technical safeguards to better protect PHI.</t>
  </si>
  <si>
    <t>Henry Ford Health</t>
  </si>
  <si>
    <t>The covered entity (CE), Brigham and Women's Hospital, reported that graphs posted to the Internet contained a link that could expose the protected health information (PHI) of 987 individuals. The PHI involved included names, birthdates, addresses, diagnoses, lab results, medications, and other treatment information. The CE notified HHS, affected individuals, the media, and provided substitute notice. In response to the breach, the CE implemented additional administrative, technical, and security safeguards. Staff were retrained to better protect PHI.</t>
  </si>
  <si>
    <t>Ascension Providence</t>
  </si>
  <si>
    <t>The covered entity (CE), Ascension Providence, reported that its business associate (BA) experienced a ransomware incident that affected the protected health information (PHI) of 1,415 individuals. The PHI involved included names, addresses, Social Security and drivers' license numbers, dates of birth, financial and health insurance information, lab results, medications, and diagnoses. The CE notified HHS, affected individuals, the media, and posted substitute notice on its website. In response to the breach, the CE offered free credit monitoring services.</t>
  </si>
  <si>
    <t>Ascension Seton</t>
  </si>
  <si>
    <t>The covered entity (CE), Ascension Seton, reported that its business associate (BA) experienced a ransomware incident that affected the protected health information (PHI) of 17,191 individuals. The PHI involved included names, addresses, Social Security and drivers' license numbers, dates of birth, financial and health insurance information, lab results, medications, and diagnoses. The CE notified HHS, affected individuals, the media, and posted substitute notice on its website. In response to the breach, the CE offered free credit monitoring services.</t>
  </si>
  <si>
    <t>Southeast Nursing and Rehab Center</t>
  </si>
  <si>
    <t>Southeast Nursing and Rehab Center, the covered entity (CE), reported that medical records maintained at an offsite storage facility were inadvertently auctioned off and made available to unauthorized individuals, which compromised the protected health information (PHI) of 2,721 individuals. The PHI involved included names, dates of birth, addresses, drivers' license and Social Security numbers, claims and financial information, diagnoses, lab results medications, and other treatment information. The CE notified HHS, affected individuals, and the media. In response to the breach, the CE strengthened its administrative, technical, and security safeguards.</t>
  </si>
  <si>
    <t>Unified Operations Virginia LP</t>
  </si>
  <si>
    <t>The business associate (BA), Unified Operations Virginia, reported that one of its covered entities experienced a ransomware attack that affected the protected health information (PHI) of 91,851 individuals. The PHI involved included names, dates of birth, addresses, Social Security numbers, financial information, and other treatment information. The BA notified HHS, affected individuals, the media, and posted substitute notice on its website. In response to the breach, the BA offered free credit monitoring to affected individuals and the CE implemented additional administrative, technical, and security safeguards. Employees were retrained in its requirements to protect and secure PHI.</t>
  </si>
  <si>
    <t>Mississippi Children's Home Society, CARES Center, Inc., Mississippi Children's Home Services, Inc., d.b.a. Canopy Children's Solutions</t>
  </si>
  <si>
    <t>The covered entity (CE), Mississippi Children's Home Society, CARES Center, Mississippi Children's Home Services dba Canopy Children's Solutions, reported that it experienced a cyber-attack that compromised the protected health information (PHI) of 19,791 individuals. The PHI involved included names, diagnoses, medications, and other treatment information. The CE notified HHS, affected individuals, the media, and provided substitute notice. In response to the breach, the CE implemented additional administrative, technical, and security safeguards.</t>
  </si>
  <si>
    <t>MUSC Health Lancaster Medical Center</t>
  </si>
  <si>
    <t>The covered entity (CE), MUSC Health Lancaster Medical Center, reported that an employee 
 impermissibly accessed the protected health information (PHI) of 1,802 individuals. The PHI involved included names, addresses, telephone numbers, dates of birth, lab results, diagnoses, and other treatment information. The CE notified HHS, affected individuals, the media, and provided substitute notice. In response to the breach, the CE sanctioned the responsible employee, provided complimentary credit monitoring services, and implemented additional administrative safeguards.</t>
  </si>
  <si>
    <t>Elgon Information Systems</t>
  </si>
  <si>
    <t>Today, the U.S. Department of Health and Human Services (HHS), Office for Civil Rights (OCR) announced an $80,000 settlement with Elgon Information Systems (Elgon), a Massachusetts company that provides electronic medical record and billing support services to covered entities, under the Health Insurance Portability and Accountability Act of 1996 (HIPAA) Security Rule. OCR enforces the HIPAA Privacy, Security, and Breach Notification Rules, which set forth the requirements that covered entities (health plans, health care clearinghouses, and most health care providers), and business associates must follow to protect the privacy and security of protected health information (PHI). The HIPAA Security Rule establishes national standards to protect and secure our health care system by requiring administrative, physical, and technical safeguards to ensure the confidentiality, integrity, and security of electronic PHI (ePHI). The settlement resolves an investigation concerning a ransomware attack on Elgon's information system.
"A HIPAA compliant risk analysis is not only required under the law, but is also an essential step in effective cybersecurity," said OCR Director Melanie Fontes Rainer. "The best defense to cyberattacks, such as hacking and ransomware, is ensuring that potential risks and vulnerabilities to electronic protected health information have been assessed."
Ransomware and hacking are the primary cyberthreats in health care. Ransomware is a type of malware (malicious software) designed to deny access to a user's data, usually by encrypting the data with a key known only to the hacker who deployed the malware, until a ransom is paid. Since 2018, there has been a 264% increase in large breaches reported to OCR involving ransomware attacks. The settlement also marks the second enforcement action in OCR's Risk Analysis Initiative. This enforcement initiative was created to focus select investigations on compliance with the HIPAA Security Rule Risk Analysis provision, a key Security Rule requirement, and the foundation for effective cybersecurity and the protection of ePHI. OCR created the Risk Analysis Initiative to increase the number of completed investigations and highlight the need for more attention and better compliance with this Security Rule requirement.
An unknown actor gained access to a server on Elgon's information system through open ports on Elgon's firewall. Elgon filed a breach report with HHS stating that approximately 31,248 individuals were affected when Elgon's computer system was infected with ransomware. The protected health information disclosed included demographic information (name, social security number, address, driver's license, and date of birth) and clinical information (medication, diagnosis, and condition). OCR's investigation determined that Elgon failed to conduct an accurate and thorough risk analysis to determine the potential risks and vulnerabilities to ePHI in its system. Under the terms of the settlement agreement, OCR will monitor Elgon for three years to ensure compliance with HIPAA. In addition, Elgon has agreed to pay $80,000 to OCR and to implement a corrective action plan, which identifies the steps that Elgon will take to resolve potential violations of the HIPAA Privacy and Security Rules and protect the security of electronic protected health information, including:
Reviewing and updating its Risk Analysis to identify the potential risks and vulnerabilities to Elgon's data to protect the confidentiality, integrity, and availability of ePHI.
Updating its enterprise-wide Risk Management Plan (strategy to protect the confidentiality, integrity, and availability of ePHI) to address and mitigate any security risks and vulnerabilities found in the updated Risk Analysis.
Reviewing and revising, if necessary, its written policies and procedures to comply with the Privacy and Security Rules.
Providing workforce training on HIPAA policies and procedures.</t>
  </si>
  <si>
    <t>Episource</t>
  </si>
  <si>
    <t>The business associate (BA), Episource, reported that it experienced a cyber-attack that compromised the protected health information (PHI) of 23,557 individuals. The PHI involved included names, dates of birth, addresses, phone numbers, medical record numbers, health insurance information, diagnoses, medications, lab results, and other treatment information. The BA notified HHS, the affected individuals, the media, and provided substitute notice. In response to the breach, the BA provided complimentary credit monitoring services and implemented additional administrative, technical, and security safeguards.</t>
  </si>
  <si>
    <t>Mercy Medical Center - Clinton, Inc.</t>
  </si>
  <si>
    <t>The covered entity (CE), Mercy Medical Center ‚Äì Clinton, reported that it experienced a ransomware incident that affected the protected health information (PHI) of 20,865 individuals. The PHI involved included names, addresses, dates of birth, Social Security numbers, drivers' license numbers, dates of birth, and financial and claims information. The CE notified HHS, affected individuals, the media, and posted substitute notice to its website. In response to the breach, the CE offered free credit monitoring services and implemented additional administrative, technical, and security safeguards.</t>
  </si>
  <si>
    <t>Petaluma Health Center</t>
  </si>
  <si>
    <t>The covered entity (CE), Petaluma Health Center, reported that it experienced a ransomware attack that compromised the protected health information (PHI) of 124,862 individuals. The PHI involved included names, dates of birth, addresses, Social Security numbers, and treatment and health insurance information. The CE notified HHS, affected individuals, the media, and posted substitute notice to its website. In its mitigation efforts, the CE implemented additional administrative and technical safeguards to better protect its PHI. OCR provided technical assistance regarding the HIPAA Rules.</t>
  </si>
  <si>
    <t>Maimonides Medical Center</t>
  </si>
  <si>
    <t>The covered entity (CE), Maimonides Medical Center, reported that it experienced a cyber-attack that compromised the protected health information (PHI) of 33,000 individuals. The PHI involved included names, addresses, dates of birth, Social Security numbers, diagnoses, lab results, medications, and other treatment information. The CE notified HHS, affected individuals, the media, and provided substitute notice. In response to the breach, the CE provided complimentary credit monitoring services and implemented additional administrative, technical, and security safeguards. Staff were retrained.</t>
  </si>
  <si>
    <t>iSpace, Inc.</t>
  </si>
  <si>
    <t>The business associate (BA), iSpace, reported that it experienced a ransomware incident that affected the protected health information (PHI) of 24,382 individuals. The PHI involved included names, Social Security numbers, diagnoses, medications, and claims information. The BA notified HHS, affected individuals, the media, and posted substitute notice on its website. In response to the breach, the BA provided complimentary credit monitoring services and implemented additional administrative and technical safeguards to better protect PHI.</t>
  </si>
  <si>
    <t>Iowa Department of Health and Human Services - Iowa Medicaid</t>
  </si>
  <si>
    <t>The covered entity (CE), Iowa Department of Health and Human Services - Iowa Medicaid, reported that its business associate (BA) was the victim of a cyber-attack affecting the protected health information (PHI) of 233,834. The PHI involved included names, addresses, dates of birth, drivers' license numbers, Social Security numbers, claims and financial information, diagnoses, medications, and dental records. The CE notified HHS, affected individuals, the media, and provided substitute notice. In response to the breach, the CE provided complimentary credit monitoring services to affected individuals and implemented additional technical safeguards.</t>
  </si>
  <si>
    <t>Alvaria, Inc.</t>
  </si>
  <si>
    <t>Alvaria, the business associate (BA), reported that it experienced a ransomware attack that compromised the protected health information (PHI) of 4,456 individuals. The PHI involved included names, phone numbers, addresses, birthdates, and treatment information. Following the breach, Alvaria implemented additional administrative and technical safeguards and provided complimentary credit monitoring services to affected individuals.</t>
  </si>
  <si>
    <t>Alvaria, the covered entity (CE), reported that it experienced a ransomware incident that affected the protected health information (PHI) of 1,389 individuals. The PHI involved included names, phone numbers, addresses, and treatment information. The CE notified HHS, affected individuals, the media, and posted substitute notice on its website. In response to the breach, Alvaria provided complimentary credit monitoring services and implemented additional administrative and technical safeguards to better protect sensitive information. Staff were also retrained on obligations to protect and secure PHI.</t>
  </si>
  <si>
    <t>Alvaria, the covered entity (CE), reported that it experienced a ransomware incident that affected the protected health information (PHI) of 1,191 individuals. The PHI involved included names, phone numbers, addresses, and treatment information. The CE notified HHS, affected individuals, the media, and posted substitute notice on its website. In response to the breach, Alvaria provided complimentary credit monitoring services and implemented additional administrative and technical safeguards to better protect sensitive information. Staff were also retrained on obligations to protect and secure PHI.</t>
  </si>
  <si>
    <t>Alvaria, the covered entity (CE), reported that it experienced a ransomware incident that affected the protected health information (PHI) of 1,518 individuals. The PHI involved included names, phone numbers, addresses, and treatment information. The CE notified HHS, affected individuals, the media, and posted substitute notice on its website. In response to the breach, Alvaria provided complimentary credit monitoring services and implemented additional administrative and technical safeguards to better protect sensitive information. Staff were also retrained on obligations to protect and secure PHI.</t>
  </si>
  <si>
    <t>Pioneer Valley Ophthalmic Consultants, PC</t>
  </si>
  <si>
    <t>The covered entity (CE), Pioneer Valley Ophthalmic Consultants, reported that its business associate (BA) suffered two cyber-attack which affected the protected health information (PHI) of 36,275 individuals. The PHI involved included names, Social Security numbers, dates of birth, treatment information, and financial information. The CE notified HHS, affected individuals, the media, and provided substitute notice. In response to the breach, the CE provided complimentary credit monitoring services to affected individuals. The CE has closed its practice and is no longer in business; the investigation was therefore closed.</t>
  </si>
  <si>
    <t>Brightline, Inc.</t>
  </si>
  <si>
    <t>The business associate (BA), Brightline, reported that its third-party provider was the victim of a cyber-attack affecting the protected health information (PHI) of 8,432 individuals. The PHI involved included names, dates of birth, addresses, member and group identification numbers, and gender identification. The BA notified HHS, affected individuals, the media, and provided substitute notice. In response to the breach, the BA provided complimentary credit monitoring services and implemented additional security and technical safeguards. OCR provided the BA with technical assistance regarding the HIPAA Privacy, Security, and Breach Notification Rules.</t>
  </si>
  <si>
    <t>Alvaria, the covered entity (CE), reported that it experienced a ransomware incident that affected the protected health information (PHI) of 1,147 individuals. The PHI involved included names, phone numbers, addresses, and treatment information. The CE notified HHS, affected individuals, the media, and posted substitute notice on its website. In response to the breach, Alvaria provided complimentary credit monitoring services and implemented additional administrative and technical safeguards to better protect sensitive information. Staff were also retrained on obligations to protect and secure PHI.</t>
  </si>
  <si>
    <t>Alvaria, the covered entity (CE), reported that it experienced a ransomware incident that affected the protected health information (PHI) of 1,097 individuals. The PHI involved included names, phone numbers, addresses, and treatment information. The CE notified HHS, affected individuals, the media, and posted substitute notice on its website. In response to the breach, Alvaria provided complimentary credit monitoring services and implemented additional administrative and technical safeguards to better protect sensitive information. Staff were also retrained on obligations to protect and secure PHI.</t>
  </si>
  <si>
    <t>Managed Care of North America</t>
  </si>
  <si>
    <t>The business associate (BA), Managed Care of North America, reported that it was the subject of a ransomware attack that affected the protected health information (PHI) of 8,627,242 individuals. The PHI involved included names, dates of birth, addresses, telephone numbers, drivers' license and Social Security numbers, email addresses, claims information, diagnoses, medications, and other treatment information. The BA notified HHS, the affected individuals, the media, and provided substitute notice. In response to the breach, the BA implemented additional administrative, technical, and security safeguards.</t>
  </si>
  <si>
    <t>South Jersey Behavioral Health Resources, Inc.</t>
  </si>
  <si>
    <t>The covered entity (CE), South Jersey Behavioral Health Resources, reported that an employee was the subject of an email phishing scheme that compromised the protected health information (PHI) of 2,193 individuals. The PHI involved included names and treatment information. The CE notified HHS, the affected individuals, the media, and provided substitute notice. In response to the breach, the CE implemented additional administrative, technical, and security safeguards. Staff were retrained on email security precautions.</t>
  </si>
  <si>
    <t>Valley Orthopaedic Specialists</t>
  </si>
  <si>
    <t>The covered entity (CE), Valley Orthopaedic Specialists, reported that it was the subject a ransomware incident that affected the protected health information (PHI) of 5,062 individuals. The PHI involved included names, Social Security numbers, addresses, dates of birth, diagnoses, medications, and other treatment information. The CE notified HHS, the affected individuals, the media, and provided substitute notice. In response to the breach, the CE provided complimentary credit monitoring services and implemented additional administrative, technical, and security safeguards. Staff were retrained.</t>
  </si>
  <si>
    <t>Albany ENT &amp; Allergy Services, PC.</t>
  </si>
  <si>
    <t>The covered entity (CE), Albany ENT &amp; Allergy Services, reported that it was the subject of a ransomware attack that affected the protected health information (PHI) of 224,486 individuals. The PHI involved included names, Social Security and drivers' license numbers, addresses, dates of birth, diagnoses, lab results, medications, and other treatment information. The CE notified HHS, the affected individuals, the media, and provided substitute notice. In response to the breach, the CE provided complimentary credit monitoring services and implemented additional administrative, technical, and security safeguards. Staff were retrained.</t>
  </si>
  <si>
    <t>Alaska Railroad Corporation Welfare Benefits Plan</t>
  </si>
  <si>
    <t>The covered entity (CE), Alaska Railroad Corporation Welfare Benefits Plan, reported that it experienced a cyber-attack that compromised the protected health information (PHI) of 3,549 individuals. The PHI involved included names, addresses, dates of birth, drivers' license and Social Security numbers, claims information, diagnoses, medications, and other treatment information. The CE notified HHS, affected individuals, the media, and provided substitute notice. In response to the breach, the CE provided complimentary credit monitoring services and implemented additional administrative, technical, and security safeguards. Staff were retrained to better protect PHI.</t>
  </si>
  <si>
    <t>Goodwill Industries of Greater New York and Northern NJ, Inc.</t>
  </si>
  <si>
    <t>The covered entity (CE), Goodwill Industries of Greater New York and Northern NJ, reported that an employee was the subject of an email phishing scheme that affected the protected health information (PHI) of 10,172 individuals. The PHI involved included names, Social Security numbers, addresses, dates of birth, treatment information, and financial information. The CE notified HHS, the affected individuals, and provided substitute notice. In response to the breach, the CE provided complimentary credit monitoring services and implemented additional administrative, technical, and security safeguards to better protect its PHI.</t>
  </si>
  <si>
    <t>Vascular Center of Intervention, Inc.</t>
  </si>
  <si>
    <t>The covered entity (CE), Vascular Center of Intervention, reported that it was the subject of a ransomware attack that affected the protected health information (PHI) of 3,833 individuals. The PHI involved included names, addresses, dates of birth, Social Security and drivers' license numbers, health insurance information, diagnoses, lab results, medications, and other treatment information. The CE notified HHS, affected individuals, the media, and provided substitute notice. In response to the breach, the CE provided complimentary credit monitoring services and implemented additional administrative, technical, and security safeguards to better protect its PHI.</t>
  </si>
  <si>
    <t>The CSC Generation Holdings, Inc. Health and Welfare Plan</t>
  </si>
  <si>
    <t>The covered entity (CE), The CSC Generation Holdings, reported that its business associate (BA) was the victim of a hacking attack affecting the protected health information (PHI) of 2,219 individuals. The PHI involved included names, Social Security numbers, dates of birth, and health insurance information. The CE notified HHS and the BA notified affected individuals and the media and provided substitute notice. In response to the breach, the CE provided complimentary credit monitoring services to affected individuals.</t>
  </si>
  <si>
    <t>UI Community Home Care, a subsidiary of University of Iowa Health System</t>
  </si>
  <si>
    <t>The covered entity (CE), UI Community Home Care, a subsidiary of University of Iowa System, reported that it experienced a cyber-attack that compromised the protected health information (PHI) of 67,897 individuals. The PHI involved included names, addresses, dates of birth, claims information, diagnoses, lab results, and other treatment information. The CE notified HHS, affected individuals, the media, and posted substitute notice on its website. In response to the breach, the CE implemented additional administrative, technical, and security safeguards. OCR provided technical assistance regarding the HIPAA Rules.</t>
  </si>
  <si>
    <t>Culbertson Memorial Hospital</t>
  </si>
  <si>
    <t>The covered entity (CE), Culbertson Memorial Hospital, reported that it experienced a cyber-attack that compromised the protected health information (PHI) of 69,765 individuals. The PHI involved included names, Social Security numbers, addresses, birthdates, claims and financial information, diagnoses, lab results, medications, and other treatment information. The CE notified HHS, affected individuals, and the media. In response to the breach, the CE implemented additional administrative and technical safeguards to better protect PHI. OCR provided technical assistance regarding the HIPAA Breach Notification Rule.</t>
  </si>
  <si>
    <t>Grant Regional Health Center</t>
  </si>
  <si>
    <t>The covered entity (CE), Grant Regional Health Center, reported that an employee was the subject of an email phishing scheme that affected the protected health information (PHI) of 4,135 individuals. The PHI involved included names, addresses, dates of birth, Social Security numbers, financial information, diagnoses, and other treatment information. The CE notified HHS, the affected individuals, the media, and provided substitute notice. In response to the breach, the CE provided complimentary credit monitoring services and implemented additional administrative, technical, and security safeguards. Staff were retrained on email security.</t>
  </si>
  <si>
    <t>County of Sacramento</t>
  </si>
  <si>
    <t>The covered entity (CE), the County of Sacramento, reported that an employee was the victim of an email phishing attack affecting the protected health information (PHI) of 5,525 individuals. The CE notified HHS, affected individuals, the media, and provided substitute notice. In response to the breach the CE implemented additional administrative and technical safeguards and retrained staff on email security.</t>
  </si>
  <si>
    <t>Topcon Healthcare Solutions, Inc.</t>
  </si>
  <si>
    <t>The covered entity (CE), Topcon Healthcare Solutions, reported that it was the subject of a cyber-attack that affected the protected health information (PHI) of 3,336 individuals. The PHI involved included names, addresses and treatment information. The CE notified HHS, affected individuals, and provided substitute notice. In response to the breach, the CE implemented additional administrative, technical, and security safeguards to better protect its PHI.</t>
  </si>
  <si>
    <t>PartsSource, Inc. Welfare Benefit Plan</t>
  </si>
  <si>
    <t>The covered entity (CE), PartsSource Welfare Benefit Plan, reported that it experienced a ransomware attack that affected the protected health information of 1,474 individuals. The PHI involved included names, dates of birth, Social Security numbers, and health insurance plan information. The CE notified HHS, affected individuals, and the media. In response to the breach, the CE provided complimentary credit monitoring services and implemented additional administrative, technical, and security safeguards to better protect its PHI.</t>
  </si>
  <si>
    <t>Tennessee Orthopaedic Clinics</t>
  </si>
  <si>
    <t>The covered entity (CE), Tennessee Orthopaedic Clinics, reported that it was the subject of a ransomware attack that affected the protected health information (PHI) of 
46,679 individuals. The PHI involved included names, dates of birth, addresses, diagnoses, medications, treatment information, and Social Security numbers. The CE notified HHS, affected individuals, the media, and provided substitute notice. In response to the breach, the CE provided complimentary credit monitoring services and implemented additional administrative, technical, and security safeguards to better protect its PHI.</t>
  </si>
  <si>
    <t>Hiawatha Harris MD, Inc. dba Pathways to Wellness Medication Clinics</t>
  </si>
  <si>
    <t>Hiawatha Harris MD, dba Pathways to Wellness Medication Clinics, the covered entity (CE), reported that it experienced a ransomware incident that compromised the protected health information (PHI) of approximately 9,182 individuals. The PHI involved included names, addresses, birthdates, and Social Security numbers. The CE notified HHS, affected individuals, the media, and posted substitute notice on its website. In response to the breach, the CE offered free credit monitoring and identity theft protection services and implemented additional administrative, technical, and security safeguards.</t>
  </si>
  <si>
    <t>Marshall Information Services, LLC dba Primary Solutions</t>
  </si>
  <si>
    <t>TThe business associate (BA), Marshall Information Services, dba Primary Solutions, reported that it experienced a ransomware attack that compromised the protected health information (PHI) of 7,456 individuals. The PHI involved included names, addresses, birthdates, Social Security numbers, and claims and health insurance information. The BA notified HHS, affected individuals, the media, and provided substitute notice. In response to the breach, the BA implemented additional administrative, technical, and security safeguards to better protect its PHI. OCR provided technical assistance regarding the HIPAA Security Rule.</t>
  </si>
  <si>
    <t>Clarke County Hospital</t>
  </si>
  <si>
    <t>The covered entity (CE), Clarke County Hospital, reported that it was the subject of a ransomware attack that affected the protected health information (PHI) of 28,003 individuals. The PHI involved included names, dates of birth, addresses, and diagnoses. The CE notified HHS, affected individuals, the media, and provided substitute notice on its website. In response to the breach, the CE provided complimentary credit monitoring services and implemented additional administrative, technical, and security safeguards. Staff were retrained to protect and secure PHI.</t>
  </si>
  <si>
    <t>Fertility Specialists Medical Group</t>
  </si>
  <si>
    <t>Fertility Specialists Medical Group, the covered entity (CE), reported that it experienced a ransomware attack that compromised the protected health information (PHI) of 9,197 individuals. The PHI involved included names, Social Security numbers, addresses, birthdates, lab results, diagnoses, and other treatment information. The CE notified HHS, affected individuals, the media, and provided substitute notice on its website. In response to the breach, the CE implemented additional administrative and technical safeguards.</t>
  </si>
  <si>
    <t>R&amp;B Corporation of Virginia d/b/a Credit Control Corporation</t>
  </si>
  <si>
    <t>The covered entity (CE), R&amp;B Corporation of Virginia dba Credit Control Corporation, reported that it experienced a cyber-attack that compromised the protected health information (PHI) of 607,787 individuals. The PHI involved included names, Social Security numbers, addresses, and claims and financial information. The CE notified HHS, the affected individuals, the media, and provided substitute notice. In response to the breach, the CE provided complimentary credit monitoring services and implemented additional administrative, technical, and security safeguards. Staff were retrained.</t>
  </si>
  <si>
    <t>PharMerica Corporation</t>
  </si>
  <si>
    <t>The covered entity (CE), PharMerica Corporation, reported that it experienced a hacking incident that affected the protected health information (PHI) of 5,815,591 individuals. The PHI involved included names, addresses, dates of birth, Social Security numbers, claims information, and medications. The CE notified HHS, affected individuals, the media, and posted substitute notice on its website. In response to the breach, the CE offered free credit monitoring to affected individuals and implemented additional administrative, technical, and security safeguards.</t>
  </si>
  <si>
    <t>Great Expressions Dental Centers</t>
  </si>
  <si>
    <t>The covered entity (CE), Great Expressions Dental Centers, reported that it experienced a ransomware incident that affected the protected health information (PHI) of 1,925,397 individuals. The PHI involved included names, addresses, dates of birth, Social Security numbers, health insurance information, and financial and treatment information. The CE notified HHS, affected individuals, the media, and posted substitute notice of the breach on its website. In response to the breach, the CE offered free credit monitoring services and implemented additional administrative, technical, and security safeguards. Staff were also retrained on the requirements to protect and secure PHI.</t>
  </si>
  <si>
    <t>Sesame, Inc.</t>
  </si>
  <si>
    <t>The business associate (BA), Sesame, Inc., reported that web tracking pixels transferred the protected health information (PHI) of 1,809 individuals to unauthorized third parties. OCR has consolidated this breach report into an open compliance review of the BA.</t>
  </si>
  <si>
    <t>Solutran</t>
  </si>
  <si>
    <t>Health Benefit Plan of the Anchorage School District</t>
  </si>
  <si>
    <t>The covered entity (CE), Health Benefit Plan of the Anchorage School District, reported that an employee's laptop computer was stolen from her vehicle. The laptop contained the protected health information (PHI) of 4,598 individuals. The PHI involved included names, Social Security numbers, and health insurance information. The CE notified HHS, affected individuals, the media, local law enforcement, and provided substitute notice. In response to the breach, the CE implemented additional administrative and technical safeguards and provided complimentary credit monitoring services to affected individuals.</t>
  </si>
  <si>
    <t>The covered entity (CE), United Healthcare Services, reported that a third-party independent insurance agency fraudulently signed up 1,116 individuals to its Medicare health plan. The CE notified HHS and the affected individuals. The PHI involved included names and health insurance information. In its mitigation efforts, the CE provided complimentary credit monitoring services to affected individuals and implemented additional administrative safeguards to better protect PHI.</t>
  </si>
  <si>
    <t>Catholic Health System</t>
  </si>
  <si>
    <t>Catholic Health System, the covered entity (CE), reported that a former employee of its business associate (BA) impermissibly accessed the protected health information (PHI) of 12,759 individuals. The PHI involved included names, addresses, dates of birth, Social Security numbers, and diagnoses. The CE notified HHS, affected individuals, the media, and law enforcement.</t>
  </si>
  <si>
    <t>Uintah Basin Healthcare</t>
  </si>
  <si>
    <t>The covered entity (CE), Uintah Basin Healthcare, reported that it was the subject of a ransomware attack that affected the protected health information (PHI) of 103,974 individuals. The PHI involved included names, addresses, dates of birth, Social Security numbers, diagnoses, lab results, medications, and other treatment and health insurance information. The CE notified HHS, the affected individuals, the media, and provided substitute notice. In response to the breach, the CE provided complimentary credit monitoring services and implemented additional administrative, technical, and security safeguards. Staff were retrained to better protect its PHI.</t>
  </si>
  <si>
    <t>The business associate (BA), Brightline, reported that its third-party provider was the victim of a cyber-attack affecting the protected health information (PHI) of 28,975 individuals. The PHI involved included names, dates of birth, addresses, member and group identification numbers, and gender identification. The BA notified HHS, affected individuals, the media, and provided substitute notice. In response to the breach, the BA provided complimentary credit monitoring services and implemented additional security and technical safeguards. OCR provided the BA with technical assistance regarding the HIPAA Privacy, Security, and Breach Notification Rules.</t>
  </si>
  <si>
    <t>Smile Doctors of Arizona dba Grinz Orthodontics</t>
  </si>
  <si>
    <t>Smile Doctors of Arizona dba Grinz Orthodontics, the covered entity (CE), reported that its office was burglarized and five desktop computers were stolen. The protected health information (PHI) of 1,034 individuals was compromised. The PHI involved included names, dates of birth, gender, X-ray images, and other treatment information. The CE notified HHS, affected individuals, and the media. In its mitigation efforts, the CE revised its policies and procedures, retrained its workforce members, and implemented additional technical safeguards.</t>
  </si>
  <si>
    <t>ASAS Health, LLC</t>
  </si>
  <si>
    <t>The covered entity (CE), ASAS Health, reported that it was the subject of a ransomware attack that affected the protected health information (PHI) of 25,527 individuals. The PHI involved included, names, Social Security and drivers' license numbers, addresses, dates of birth, diagnoses, lab results, medications, and claims information. The CE notified HHS, affected individuals, the media, and provided substitute notice. In response to the breach, the CE provided complimentary credit monitoring services and implemented additional administrative, technical, and security safeguards. Staff were retrained on methods to better protect its PHI.</t>
  </si>
  <si>
    <t>The covered entity (CE), United Healthcare Services - Single Affiliated Covered Entity, reported that the protected health information (PHI) of 1,971 individuals was viewable by others via its member portal. The PHI involved included names, birthdates, claims and financial information, and health insurance and other treatment information. The CE notified HHS, affected individuals, the media, and provided substitute notice on its website. In response to the breach, the CE implemented additional technical safeguards.</t>
  </si>
  <si>
    <t>The covered entity (CE), United Healthcare Services - Single Affiliated Covered Entity, reported that it experienced a malware incident that affected the protected health information (PHI) of 26,561 individuals. The PHI involved included names, birthdates, addresses, claims information, and health insurance and other treatment information. The CE notified HHS, affected individuals, and the media. In response to the breach, the CE implemented additional administrative, technical, and security safeguards.</t>
  </si>
  <si>
    <t>People Incorporated of Sequoyah County</t>
  </si>
  <si>
    <t>The covered entity (CE), People Incorporated of Sequoyah County, reported that it experienced a ransomware incident that affected the protected health information (PHI) of 8,725 individuals. The PHI involved included names, addresses, Social Security numbers, financial information, and treatment information. The CE notified HHS, the affected individuals, the media, and posted substitute notice on its website. In response to the breach, the CE implemented additional administrative and technical safeguards to better protect sensitive data.</t>
  </si>
  <si>
    <t>New Mexico Department of Health</t>
  </si>
  <si>
    <t>The covered entity (CE), New Mexico Department of Health, reported that a workforce member erroneously uploaded a file to the Internet that contained the protected health information (PHI) of 49,000 individuals. The PHI involved included death information, addresses, age, gender, and other demographic information. The CE notified HHS, the affected individuals, the media, and provided substitute notice. In response to the breach, the CE sanctioned the responsible workforce member and implemented additional administrative, technical, and security safeguards.</t>
  </si>
  <si>
    <t>Herbert J. Thomas Memorial Hospital Association dba Thomas Memorial Hospital</t>
  </si>
  <si>
    <t>The covered entity (CE), Herbert J. Thomas Memorial Hospital Association dba Thomas Memorial Hospital, reported that its business associate (BA) experienced a cyber-attack that compromised the protected health information (PHI) of 2,492 individuals. The PHI involved included names, dates of birth, prescription information, and other treatment information. The CE notified HHS, affected individuals, the media, and provided substitute notice. In its mitigation efforts, the CE ended its business relationship with the BA. OCR provided technical assistance regarding the HIPAA Rules.</t>
  </si>
  <si>
    <t>Saint Louis University</t>
  </si>
  <si>
    <t>Saint Louis University, the covered entity (CE), reported that multiple employees were the subjects of an email phishing scheme affecting 48,392 individuals. The PHI involved included names, addresses, dates of birth, drivers' license and Social Security numbers, claims and financial information, diagnoses, lab results, and medications. The CE notified HHS, affected individuals, the media, and provided substitute notice. In its mitigation efforts, the CE implemented additional administrative, technical, ad security safeguards. All staff were retrained on email security precautions.</t>
  </si>
  <si>
    <t>University Urology</t>
  </si>
  <si>
    <t>University Urology reported that its business associate (BA) experienced a cybersecurity incident that compromised the protected health information (PHI) of 56,816 individuals. The PHI involved included names, addresses, dates of birth, diagnoses, and health insurance information. Following the discovery of the incident, University Urology notified HHS, affected individuals, and the media. University Urology mitigated the issue by strengthening its administrative and technical safeguards.</t>
  </si>
  <si>
    <t>Summit Eye &amp; Optical</t>
  </si>
  <si>
    <t>The covered entity (CE), Summit Eye &amp; Optical, reported that it experienced a ransomware attack that affected the protected health information (PHI) of 5,727 individuals. The PHI involved included diagnoses, and potentially Social Security numbers. The CE notified HHS, affected individuals, the media, and posted substitute notice on its website. In response to the breach, the CE provided identity monitoring services and implemented additional administrative, technical, and security safeguards. Staff were also retrained in its requirements to protect and secure PHI.</t>
  </si>
  <si>
    <t>Link Audiology LLC</t>
  </si>
  <si>
    <t>The covered entity (CE), Link Audiology, reported that an employee was the subject of an email phishing scheming that compromised the protected health information (PHI) of 2,608 individuals. The PHI involved included names, addresses, and claims and financial information. The CE notified HHS, affected individuals, and the media. In response to the breach the CE implemented additional technical safeguards to better protect its PHI.</t>
  </si>
  <si>
    <t>HealthPlan Services, Inc.</t>
  </si>
  <si>
    <t>The business associate (BA), HealthPlan Services, reported that it was the subject of a ransomware attack that affected the protected health information (PHI) of 9,650 individuals. The PHI involved included names, addresses, Social Security numbers, dates of birth, drivers' license numbers, health insurance information, financial information, and other treatment information. The BA notified HHS, affected individuals, and the media. In response to the breach, the BA provided complimentary credit monitoring services and implemented additional administrative, technical, and security safeguards.</t>
  </si>
  <si>
    <t>Grohler Hearing Aid Center, INC DBA Beltone Hearing Aid Centers</t>
  </si>
  <si>
    <t>The covered entity (CE), Grohler Hearing Aid Center dba Beltone Hearing Aid Centers, reported that several employees were the subjects of an email phishing scheme that affected the protected health information (PHI) of 5,272 individuals. The PHI involved included names, Social Security numbers, addresses, drivers' license numbers, dates of birth, financial and claims information, and treatment information. The CE notified HHS, the affected individuals, the media, and provided substitute notice. In response to the breach, the CE implemented additional administrative, technical, and security safeguards. Staff were retrained on email security precautions.</t>
  </si>
  <si>
    <t>Unlimited Care, Inc.</t>
  </si>
  <si>
    <t>The covered entity (CE), Unlimited Care, reported that it experienced a hacking incident that affected the protected health information (PHI) of 8,453 individuals. The PHI involved included names, dates of birth, addresses, Social Security numbers, diagnoses, health insurance information, and other treatment information. The CE notified HHS, the affected individuals, the media, and posted substitute notice on its website. In response to the breach the CE provided complimentary credit monitoring and identity protection services and implemented additional administrative, technical, and security safeguards.</t>
  </si>
  <si>
    <t>Delphi Drug &amp; Alcohol Council</t>
  </si>
  <si>
    <t>Delphi Drug &amp; Alcohol Council, the covered entity (CE), reported that several employees were the subjects of an email phishing scheme that compromised the protected health information (PHI) of 6,288 individuals. The PHI involved included names, addresses, dates of birth, and drivers' license and Social Security numbers. The CE notified HHS, affected individuals, the media, and provided substitute notice on its website. In its mitigation efforts the CE implemented additional administrative, technical, and security safeguards to better protect its sensitive data.</t>
  </si>
  <si>
    <t>The business associate (BA), Brightline, reported that its third-party provider was the victim of a cyber-attack affecting the protected health information (PHI) of 180,694 individuals. The PHI involved included names, dates of birth, addresses, member and group identification numbers, and gender identification. The BA notified HHS, affected individuals, the media, and provided substitute notice. In response to the breach, the BA provided complimentary credit monitoring services and implemented additional security and technical safeguards. OCR provided the BA with technical assistance regarding the HIPAA Privacy, Security, and Breach Notification Rules.</t>
  </si>
  <si>
    <t>Integrated Medical Services</t>
  </si>
  <si>
    <t>The covered entity (CE), Integrated Medical Services, reported that an employee inadvertently disclosed the protected health information (PHI) of 6,591 individuals to the wrong recipients. The PHI involved included only names. The CE notified HHS, affected individuals, the media, and provided substitute notice. In response to the breach, the CE revised its policies and procedures and retrained its workforce members.</t>
  </si>
  <si>
    <t>Ethan Health, LLC</t>
  </si>
  <si>
    <t>The covered entity (CE), Ethan Health, reported that several employees were the subjects of an email phishing scheme that affected the protected health information (PHI) of 4,047 individuals. The PHI involved included names, dates of birth, Social Security numbers, physical addresses, claims information, lab results, medications, diagnoses, and other treatment information. The CE notified HHS, affected individuals, the media, and posted substitute notice on its website. In its mitigation efforts, the CE implemented additional administrative, technical, and security safeguards to better protect its PHI.</t>
  </si>
  <si>
    <t>United Steelworkers Local 286</t>
  </si>
  <si>
    <t>United Steelworkers Local 286, the covered entity (CE), reported that an employee was the subject of an email phishing scheme that compromised the protected health information (PHI) of 37,965 individuals. The PHI involved included names, Social Security numbers, dates of birth, drivers' license and/or state identification numbers, passport numbers, and health insurance and other treatment information. In its mitigation efforts, the CE implemented additional administrative, technical, and security safeguards. Staff were retrained on email security.</t>
  </si>
  <si>
    <t>Two Rivers Public Health Department</t>
  </si>
  <si>
    <t>The covered entity (CE), Two Rivers Public Health Department, reported that an employee was the victim of an email phishing scheme affecting the protected health information (PHI) of 15,168 individuals. The PHI involved included names, addresses, dates of birth, drivers' license numbers, Social Security numbers, health insurance information, vaccination status, diagnoses, and medication information. The CE notified HHS, affected individuals, the media, and provided substitute notice. In response to the breach, the CE offered complimentary credit monitoring services and implemented additional administrative and technical safeguards.</t>
  </si>
  <si>
    <t>The business associate (BA), Brightline, reported that its third-party provider was the victim of a cyber-attack affecting the protected health information (PHI) of 49,968 individuals. The PHI involved included names, dates of birth, addresses, member and group identification numbers, and gender identification. The BA notified HHS, affected individuals, the media, and provided substitute notice. In response to the breach, the BA provided complimentary credit monitoring services and implemented additional security and technical safeguards. OCR provided the BA with technical assistance regarding the HIPAA Privacy, Security, and Breach Notification Rules.</t>
  </si>
  <si>
    <t>The covered entity (CE), Multnomah County Health Department, reported that its office was burglarized and the protected health information (PHI) of 2,719 individuals was compromised. The PHI involved included names, dates of birth, addresses, Social Security and drivers' license numbers, diagnoses, medications, lab results, and financial and other treatment information. The CE notified HHS, affected individuals, the media, and provided substitute notice. In response to the breach, the CE sanctioned the responsible employees and implemented additional administrative and physical safeguards to better protect its PHI.</t>
  </si>
  <si>
    <t>Pathway Healthcare, LLC</t>
  </si>
  <si>
    <t>The covered entity (CE), Pathway Healthcare, reported that an employee forwarded the protected health information (PHI) of 1,304 individuals to her personal email address. The PHI involved included names, dates of birth, diagnoses, and other treatment information. The CE notified HHS and affected individuals. In response to the breach the CE sanctioned the responsible employee and retrained its employees to better protect its PHI. Administrative safeguards were also put in place.</t>
  </si>
  <si>
    <t>Retina &amp; Vitreous of Texas, PLLC</t>
  </si>
  <si>
    <t>The covered entity (CE), Retina &amp; Vitreous of Texas, reported that it experienced a ransomware incident that affected the protected health information (PHI) of 35,766 individuals. The PHI involved included names, addresses, dates of birth, diagnoses, and conditions. The CE notified HHS, the affected individuals, and the media. In response to the breach, the CE implemented additional system monitoring safeguards and enhanced existing technical safeguards.</t>
  </si>
  <si>
    <t>Yukon Kuskokwim Health Corporation</t>
  </si>
  <si>
    <t>Yukon Kuskokwim Health Corporation, the covered entity (CE), reported that it experienced a ransomware attack that compromised the protected health information (PHI) of 51,787 individuals. The PHI involved included names, addresses, dates of birth, drivers' license and Social Security numbers, diagnoses, and additional treatment information. The CE notified HHS, affected individuals, the media, and posted substitute notice on its website. In its mitigation efforts, the CE retrained its workforce members and revised its policies and procedures and implemented additional technical safeguards.</t>
  </si>
  <si>
    <t>Iowa Department of Health and Human Services - Iowa Medicaid Enterprise</t>
  </si>
  <si>
    <t>The covered entity (CE), Iowa Department of Health and Human Services ‚Äì Iowa Medicaid Enterprise, reported that its business associate (BA)experienced a cyber-attack that affected the protected health information (PHI) of 20,815 individuals. The PHI involved included names, addresses, dates of birth, phone numbers, Social Security numbers, financial and claims information, diagnoses, health insurance information, and other treatment information. The CE notified HHS; the CE and BA notified the affected individuals, the media, and provided substitute notice. The CE and BA also created a toll-free phone number for questions and concerns. In its mitigation efforts, the CE and BA provided complimentary credit and identity monitoring services.</t>
  </si>
  <si>
    <t>The business associate (BA), Brightline, reported that its third-party provider was the victim of a cyber-attack affecting the protected health information (PHI) of 199,753 individuals. The PHI involved included names, dates of birth, addresses, member and group identification numbers, and gender identification. The BA notified HHS, affected individuals, the media, and provided substitute notice. In response to the breach, the BA provided complimentary credit monitoring services and implemented additional security and technical safeguards. OCR provided the BA with technical assistance regarding the HIPAA Privacy, Security, and Breach Notification Rules.</t>
  </si>
  <si>
    <t>The business associate (BA), Brightline, reported that its third-party provider was the victim of a cyber-attack affecting the protected health information (PHI) of 21,830 individuals. The PHI involved included names, dates of birth, addresses, member and group identification numbers, and gender identification. The BA notified HHS, affected individuals, the media, and provided substitute notice. In response to the breach, the BA provided complimentary credit monitoring services and implemented additional security and technical safeguards. OCR provided the BA with technical assistance regarding the HIPAA Privacy, Security, and Breach Notification Rules.</t>
  </si>
  <si>
    <t>The business associate (BA), Brightline, reported that its third-party provider was the victim of a cyber-attack affecting the protected health information (PHI) of 7,411 individuals. The PHI involved included names, dates of birth, addresses, member and group identification numbers, and gender identification. The BA notified HHS, affected individuals, the media, and provided substitute notice. In response to the breach, the BA provided complimentary credit monitoring services and implemented additional security and technical safeguards. OCR provided the BA with technical assistance regarding the HIPAA Privacy, Security, and Breach Notification Rules.</t>
  </si>
  <si>
    <t>The business associate (BA), Brightline, reported that its third-party provider was the victim of a cyber-attack affecting the protected health information (PHI) of 31,440 individuals. The PHI involved included names, dates of birth, addresses, member and group identification numbers, and gender identification. The BA notified HHS, affected individuals, the media, and provided substitute notice. In response to the breach, the BA provided complimentary credit monitoring services and implemented additional security and technical safeguards. OCR provided the BA with technical assistance regarding the HIPAA Privacy, Security, and Breach Notification Rules.</t>
  </si>
  <si>
    <t>The business associate (BA), Brightline, reported that its third-party provider was the victim of a cyber-attack affecting the protected health information (PHI) of 4,044 individuals. The PHI involved included names, dates of birth, addresses, member and group identification numbers, and gender identification. The BA notified HHS, affected individuals, the media, and provided substitute notice. In response to the breach, the BA provided complimentary credit monitoring services and implemented additional security and technical safeguards. OCR provided the BA with technical assistance regarding the HIPAA Privacy, Security, and Breach Notification Rules.</t>
  </si>
  <si>
    <t>The business associate (BA), Brightline, reported that its third-party provider was the victim of a cyber-attack affecting the protected health information (PHI) of 473,467 individuals. The PHI involved included names, dates of birth, addresses, member and group identification numbers, and gender identification. The BA notified HHS, affected individuals, the media, and provided substitute notice. In response to the breach, the BA provided complimentary credit monitoring services and implemented additional security and technical safeguards. OCR provided the BA with technical assistance regarding the HIPAA Privacy, Security, and Breach Notification Rules.</t>
  </si>
  <si>
    <t>The business associate (BA), Brightline, reported that its vendor was the victim of a cyber-attack affecting the protected health information (PHI) of 7,672 individuals. The PHI involved included names, dates of birth, and addresses. The BA notified HHS, affected individuals, the media, and provided substitute notice. In response to the breach, the BA provided complimentary credit monitoring services and implemented additional administrative, technical, and security safeguards. OCR provided the BA with technical assistance regarding the HIPAA Privacy Rules.</t>
  </si>
  <si>
    <t>The covered entity (CE), Centers for Medicare &amp; Medicaid Services, reported that an employee of its business associate (BA) inadvertently mailed the protected health information (PHI) of 10,011 individuals to the wrong recipients. The PHI involved included names, addresses, claims information, diagnoses, and other treatment information. The CE notified HHS, affected individuals, the media, and provided substitute notice. In response to the breach, the BA implemented additional administrative and technical safeguards to better protect PHI.</t>
  </si>
  <si>
    <t>St. Luke's Health System, Ltd.</t>
  </si>
  <si>
    <t>St. Luke's Health System, the covered entity (CE), reported that an employee of its business associate (BA) inadvertently mailed the protected health information (PHI) of 15,246 individuals to the wrong recipient. The PHI involved included names, financial information, and other treatment information. The CE notified HHS, affected individuals, the media, and provided substitute notice. In response to the breach, the CE and BA corrected and updated the printing system to prevent similar incident in the future.</t>
  </si>
  <si>
    <t>California Physicians' Services dba Blue Shield of California</t>
  </si>
  <si>
    <t>The covered entity (CE), California Physicians' Services dba Blue Shield of California, reported that its business associate's (BA) subcontractor suffered a hacking attack affecting the protected health information (PHI) of 1,553 individuals. The PHI involved included names, dates of birth, and addresses. The CE notified HHS, affected individuals, the media, and posted substitute notice on its website. In response to the breach, the CE severed its connection with the servers affected by the breach, implemented additional technical safeguards, and provided complimentary credit monitoring services to affected individuals.</t>
  </si>
  <si>
    <t>WellBe Senior Medical, LLC</t>
  </si>
  <si>
    <t>The business associate (BA), WellBe Senior Medical, reported that its vendor experienced a cyber-attack that compromised the protected health information (PHI) of 42,020 individuals. The PHI involved included names, address, dates of birth, lab results, medications, and other treatment information. The BA notified HHS, affected individuals, and the media. In its mitigation efforts, the BA and its vendor implemented additional administrative, technical, and security safeguards to better protect PHI.</t>
  </si>
  <si>
    <t>California Physicians' Services d/b/a Blue Shield of California</t>
  </si>
  <si>
    <t>The covered entity (CE), California Physicians' Services dba Blue Shield of California, reported that its business associate's (BA) subcontractor suffered a hacking attack affecting the protected health information (PHI) of 61,788 individuals. The PHI involved included names, dates of birth, and addresses. The CE notified HHS, affected individuals, the media, and posted substitute notice on its website. In response to the breach, the CE severed its connection with the servers affected by the breach, implemented additional technical safeguards, and provided complimentary credit monitoring services to affected individuals.</t>
  </si>
  <si>
    <t>Banis Plastic Surgery</t>
  </si>
  <si>
    <t>The covered entity (CE), Banis Plastic Surgery, reported that an employee emailed the protected health information (PHI) of 4,498 individuals to the wrong recipients. The PHI involved included names and addresses. The CE notified HHS and the affected individuals. In response to the breach, the CE implemented additional administrative, technical, and security safeguards to better protect its PHI. OCR provided technical assistance regarding the HIPAA Breach Notification Rule.</t>
  </si>
  <si>
    <t>Tallahassee Memorial Healthcare, Inc.</t>
  </si>
  <si>
    <t>Tallahassee Memorial Healthcare, the covered entity (CE), reported that it experienced a ransomware attack that compromised the protected health information (PHI) of 20,376 individuals. The PHI involved included names, addresses, dates of birth, Social Security numbers, health insurance information, medical record numbers, patient account numbers, and some treatment information. The CE notified HHS, affected individuals, the media, and posted substitute notice on its website. In response to this breach, the CE implemented additional administrative, technical, and security safeguards.</t>
  </si>
  <si>
    <t>The covered entity (CE), WellBe Senior Medical, reported that its business associate (BA) experienced a cybersecurity incident that compromised the protected health information (PHI) of 19,567 individuals. The PHI involved included names, addresses, dates of birth, lab results, medications, health insurance information, and other treatment information. The CE notified HHS, affected individuals, the media, and provided substitute notice. In its mitigation efforts, the CE provided complimentary credit monitoring services implemented additional administrative and technical safeguards.</t>
  </si>
  <si>
    <t>Santa Clara Family Health Plan</t>
  </si>
  <si>
    <t>The covered entity (CE), Santa Clara Family Health Plan, reported that its business associate (BA) experienced a security incident that affected the protected health information (PHI) of 276,933 individuals. The PHI involved included names, addresses, dates of birth, and health insurance information. The CE notified HHS, affected individuals, the media, and provided substitute notice. In response to the breach, the CE implemented additional technical safeguards and provided complimentary credit monitoring services to affected individuals.</t>
  </si>
  <si>
    <t>Aspire Health Partners</t>
  </si>
  <si>
    <t>The covered entity (CE), Aspire Health Partners, reported that the protected health information (PHI) of 1,005 individuals was found in a dumpster. The PHI involved included names, medical records, Social Security numbers, dates of birth, and other treatment information. The CE notified HHS, affected individuals, the media, and provided substitute notice. In response to the breach, the CE provided complimentary credit monitoring services and provided training to its staff on requirements to protect the privacy and security of PHI.</t>
  </si>
  <si>
    <t>UHS of Delaware, Inc.</t>
  </si>
  <si>
    <t>UHS of Delaware, the business associate (BA), reported that an employee of its subcontractor was the subject of an email phishing scheme that compromised the protected health information (PHI) for 40,290 individuals. The PHI involved included names, addresses, dates of birth, claims and health insurance information, diagnoses, and other treatment information. The BA notified HHS, affected individuals, the media, and posted substitute notice on its website. In its mitigation efforts, the BA implemented additional administrative, technical, and security safeguards to better protect its sensitive data. All staff were retrained on email security precautions.</t>
  </si>
  <si>
    <t>American Pain and Wellness, PLLC</t>
  </si>
  <si>
    <t>The covered entity (CE), American Pain and Wellness, reported that it was the subject of a ransomware attack that affected the protected health information (PH) of 7,457 individuals. The PHI involved included names, Social Security numbers, addresses, dates of birth, diagnoses, lab results, medications, and other treatment information. The CE notified HHS and the affected individual. In response to the breach, the CE provided complimentary credit monitoring services and implemented additional administrative and technical safeguards.</t>
  </si>
  <si>
    <t>NewBridge Services</t>
  </si>
  <si>
    <t>NewBridge Services, the covered entity (CE), reported that it experienced a ransomware incident that affected the protected health information (PHI) of 1,457 individuals. The PHI involved included names, addresses, dates of birth, Social Security numbers, diagnoses, and medications. The CE notified HHS, affected individuals, the media, and provided substitute notice on its website. In its mitigation efforts, the CE implemented additional administrative, technical, and security safeguards to better protect its sensitive data.</t>
  </si>
  <si>
    <t>Frideres Dental LLC</t>
  </si>
  <si>
    <t>The covered entity (CE), Frideres Dental, reported that an employee was the victim of an email phishing scheme that compromised the protected health information (PHI) of 1,596 individuals. The PHI involved included names, dates of birth, addresses, Social Security numbers, diagnoses, and other treatment information. The CE notified HHS, affected individuals, the media, and posted substitute notice on its website. In response to the breach, the CE provided complimentary credit monitoring services and implemented additional physical, administrative, and technical safeguards. During the investigation, OCR provided technical assistance to the CE regarding the HIPAA Rules.</t>
  </si>
  <si>
    <t>New Medical Healthcare</t>
  </si>
  <si>
    <t>The covered entity (CE), New Medical Healthcare, reported that an employee emailed documents containing the protected health information (PHI) of 1,557 individuals to an unauthorized individual. The PHI involved included names, addresses, dates of birth, email addresses, health insurance information, and other treatment information. The CE notified HHS, affected individuals, the media, posted substitute notice on its website. In response to the breach, the CE provided complimentary credit monitoring services and implemented additional administrative, technical, and security safeguards. Staff were retrained and the responsible employee was sanctioned.</t>
  </si>
  <si>
    <t>US Wellness Inc.</t>
  </si>
  <si>
    <t>The business associate (BA), U.S. Wellness, reported that its third-party vendor was the victim of a cybersecurity attack that affected the protected health information (PHI) of 15,818 individuals. The PHI involved included names, addresses, and dates of birth. The BA notified HHS, affected individuals, the media, and provided substitute notice on its website. In response to the breach, the BA offered complimentary credit and identity protection services and implemented additional administrative, technical, and security safeguards.</t>
  </si>
  <si>
    <t>Atlantic Dialysis Management Services - Mattoo and Bhat Medical Associates</t>
  </si>
  <si>
    <t>Atlantic Dialysis Management Services, the business associate (BA) reported that it experienced a cybersecurity incident that compromised the protected health information (PHI) of 3.851 individuals. The PHI involved included names, dates of birth, Social Security numbers, drivers' license numbers, financial and claims information, health insurance information, and other treatment information. The BA notified HHS, affected individuals, and the media. In its mitigation efforts, the BA implemented additional administrative, technical, and security safeguards.</t>
  </si>
  <si>
    <t>Atlantic Dialysis Management Services - Ridgewood Dialysis Center Inc.</t>
  </si>
  <si>
    <t>Atlantic Dialysis Management Services, the business associate (BA) reported that it experienced a cybersecurity incident that compromised the protected health information (PHI) of 2,204 individuals. The PHI involved included names, dates of birth, Social Security numbers, drivers' license numbers, financial and claims information, health insurance information, and other treatment information. The BA notified HHS, affected individuals, and the media. In its mitigation efforts, the BA implemented additional administrative, technical, and security safeguards.</t>
  </si>
  <si>
    <t>Atlantic Dialysis Management Services - New York Renal Associates</t>
  </si>
  <si>
    <t>Atlantic Dialysis Management Services, the business associate (BA) reported that it experienced a cybersecurity incident that compromised the protected health information (PHI) of 1,126 individuals. The PHI involved included names, dates of birth, Social Security numbers, drivers' license numbers, financial and claims information, health insurance information, and other treatment information. The BA notified HHS, affected individuals, and the media. In its mitigation efforts, the BA implemented additional administrative, technical, and security safeguards.</t>
  </si>
  <si>
    <t>Atlantic Dialysis Management Services - New Hyde Park Dialysis Center LLC</t>
  </si>
  <si>
    <t>Atlantic Dialysis Management Services, the business associate (BA) reported that it experienced a cybersecurity incident that compromised the protected health information (PHI) of 1,119 individuals. The PHI involved included names, dates of birth, Social Security numbers, drivers' license numbers, financial and claims information, health insurance information, and other treatment information. The BA notified HHS, affected individuals, and the media. In its mitigation efforts, the BA implemented additional administrative, technical, and security safeguards.</t>
  </si>
  <si>
    <t>Atlantic Dialysis Management Services - Central Park Dialysis Center</t>
  </si>
  <si>
    <t>Atlantic Dialysis Management Services, the business associate (BA) reported that it experienced a cybersecurity incident that compromised the protected health information (PHI) of 745 individuals. The PHI involved included names, dates of birth, Social Security numbers, drivers' license numbers, financial and claims information, health insurance information, and other treatment information. The BA notified HHS, affected individuals, and the media. In its mitigation efforts, the BA implemented additional administrative, technical, and security safeguards.</t>
  </si>
  <si>
    <t>Atlantic Dialysis Management Services - Central Brooklyn Dialysis Center LLC</t>
  </si>
  <si>
    <t>Atlantic Dialysis Management Services, the business associate (BA) reported that it experienced a cybersecurity incident that compromised the protected health information (PHI) of 1,052 individuals. The PHI involved included names, dates of birth, Social Security numbers, drivers' license numbers, financial and claims information, health insurance information, and other treatment information. The BA notified HHS, affected individuals, and the media. In its mitigation efforts, the BA implemented additional administrative, technical, and security safeguards.</t>
  </si>
  <si>
    <t>Atlantic Dialysis Management Services</t>
  </si>
  <si>
    <t>Atlantic Dialysis Management Services, the business associate (BA), reported that it experienced a cybersecurity incident that affected the protected health information (PHI) of 720 individuals. The PHI involved included names, dates of birth, Social Security numbers, drivers' license numbers, financial information, health insurance information, and other treatment information. The BA notified HHS, affected individuals, and the media. In its mitigation efforts, the BA provided complimentary credit monitoring services and implemented additional administrative, technical, and security safeguards.</t>
  </si>
  <si>
    <t>McAllen Hospitals, LP d/b/a South Texas Health System</t>
  </si>
  <si>
    <t>The covered entity (CE), McAllen Hospitals dba South Texas Health System, reported that an employee was the subject of an email phishing scheme that affected the protected health information (PHI) of 134,634 individuals. The PHI involved included names, diagnoses, and financial and claims information. The CE notified HHS, affected individuals, and the media. In response to the breach, the CE implemented additional administrative, technical, and security safeguards and retrained staff on email security.</t>
  </si>
  <si>
    <t>Integrated Supports for Living, Inc.</t>
  </si>
  <si>
    <t>The covered entity (CE), Integrated Supports for Living, reported that it was the subject of a ransomware attack that affected the protected health information (PHI) of 1,161 individuals. The PHI involved included names, addresses, drivers' license and Social Security numbers, dates of birth, claims and financial information, lab results, medications, diagnoses, and other treatment information. The CE notified HHS, the affected individuals, the media, and provided substitute notice. In response to the breach, the CE provided complimentary credit monitoring services and implemented additional administrative, technical, and security safeguards to further protect PHI.</t>
  </si>
  <si>
    <t>Majestic Care Middletown Assisted Living LLC</t>
  </si>
  <si>
    <t>OU Medicine, Inc. d/b/a OU Health</t>
  </si>
  <si>
    <t>The covered entity (CE), OU Medicine dba OU Health, reported that a laptop computer containing the protected health information (PHI) of 3,013 individuals was stolen from an employee's vehicle. The PHI involved included names, dates of birth, addresses, drivers' license and Social Security numbers, diagnoses, medications, and other treatment information. The CE notified HHS and affected individuals. In its mitigation efforts, the CE reinforced existing policy on whole disk encryption and strengthened its administrative and technical safeguards. OCR provided technical assistance regarding the HIPAA Rules.</t>
  </si>
  <si>
    <t>Associates in Dermatology</t>
  </si>
  <si>
    <t>The covered entity (CE), Associates in Dermatology, reported that a vendor of its business associate (BA) was the subject of a ransomware attack that affected the protected health information (PHI) of 12,060 individuals. The PHI involved included names, addresses, Social Security numbers, dates of birth, diagnoses, lab results, and medications. The CE notified HHS, the affected individuals, the media, and provided substitute notice. In response to the breach, the CE provided complimentary credit monitoring services and implemented additional administrative, technical, and security safeguards to better protect PHI.</t>
  </si>
  <si>
    <t>UC San Diego Health</t>
  </si>
  <si>
    <t>The covered entity (CE), UC San Diego Health, reported that its business associate (BA) impermissibly used analytics tools on its websites that captured and transmitted the protected health information (PHI) of 22,971 individuals to its third-party service providers without a valid business associate agreement. The PHI involved included names, dates of birth, addresses, email addresses, IP addresses, and health insurance information. The CE notified HHS, the affected individuals, the media, and provided substitute notice. In its mitigation efforts, the CE terminated its business relationship with the BA and implemented new policies and procedures and retrained workforce members to better protect PHI.</t>
  </si>
  <si>
    <t>Merritt Healthcare Advisors</t>
  </si>
  <si>
    <t>Merritt Healthcare Advisors reported that an employee was the victim of an email phishing scheme affecting the protected health information (PHI) of 88,740 individuals. Upon investigation, it was determined that the entity is not a covered entity or business associate; OCR closed the matter.</t>
  </si>
  <si>
    <t>California Department of Health Care Services</t>
  </si>
  <si>
    <t>The California Department of Health Care Services, the covered entity (CE), reported that its business associate (BA) mailed the protected health information (PHI) of 6,460 individuals to the wrong recipients. The PHI involved included names, birthdates, Social Security numbers, addresses, and clinical information. The CE notified HHS, affected individuals, and the media. In response to this incident, the CE and BA implemented additional administrative, technical, and security safeguards to better protect PHI.</t>
  </si>
  <si>
    <t>Beach District Surgery Center</t>
  </si>
  <si>
    <t>The covered entity (CE), Beach District Surgery Center, reported that an employee of its business associate (BA) was the subject of an email phishing scheme that compromised the protected health information (PHI) of 3,560 individuals. The PHI involved included names, addresses, dates of birth, and diagnoses. The CE notified HHS affected individuals, and the media.</t>
  </si>
  <si>
    <t>Bone &amp; Joint Clinic, S.C.</t>
  </si>
  <si>
    <t>The covered entity (CE), Bone &amp; Joint, S.C., reported that it experienced a cybersecurity incident that affected the protected health information (PHI) of 105,094 individuals. The PHI involved included names, addresses, dates of birth, Social Security numbers, health insurance information, diagnoses, and other treatment information. The CE notified HHS, affected individuals, the media, and posted substitute notice on its website. In response to the breach, the CE offered free credit monitoring services and implemented additional administrative and technical safeguards.</t>
  </si>
  <si>
    <t>Florida Medical Clinic, LLC</t>
  </si>
  <si>
    <t>The covered entity (CE), Florida Medical Clinic, reported that it experienced a ransomware incident that affected the protected health information (PHI) of 94,132 individuals. The PHI involved included names, addresses, dates of birth, Social Security numbers, and other treatment information. The CE notified HHS, affected individuals, the media, and posted substitute notice on its website. In response to the breach, the CE offered free credit monitoring to affected individuals and implemented additional administrative, technical, and security safeguards.</t>
  </si>
  <si>
    <t>Beacon Health System</t>
  </si>
  <si>
    <t>The covered entity (CE), Beacon Health System, reported that an employee impermissibly accessed the protected health information (PHI) of 3,304 individuals. The PHI involved included names, dates of birth, addresses, Social Security numbers, diagnoses, lab results, medications, and financial and other treatment information. The CE notified HHS, affected individuals, the media, and provided substitute notice. In response to the breach, the CE provided complimentary credit monitoring services and implemented additional administrative, technical, and security safeguards. Staff were retrained on the requirements to protect and secure PHI.</t>
  </si>
  <si>
    <t>Wichita Urology Group, PA</t>
  </si>
  <si>
    <t>The covered entity (CE), Wichita Urology Group, reported that it experienced a cybersecurity attack that compromised the protected health information (PHI) of 1,493 individuals. The PHI involved included names, addresses, dates of birth, Social Security numbers, medications, and financial information. The CE notified HHS, affected individuals, the media, and posted substitute notice on its website. In response to the breach, the CE provided complimentary credit monitoring services and implemented additional administrative and technical safeguards.</t>
  </si>
  <si>
    <t>EPIC Management, LLC</t>
  </si>
  <si>
    <t>The business associate (BA), EPIC Management, reported that an employee was the victim of an email phishing scheme that compromised the protected health information (PHI) of 1,190 individuals. The PHI involved included names, member identification numbers, and health insurance and financial information. The BA notified HHS, affected individuals, and the media. In response to the breach the BA implemented additional technical safeguards and retrained its workforce members to better protect its PHI. OCR provided technical assistance to the BA regarding the HIPAA Rules.</t>
  </si>
  <si>
    <t>Northeast Surgical Group, PC</t>
  </si>
  <si>
    <t>Today the U.S. Department of Health and Human Services (HHS), Office for Civil Rights (OCR) announced a settlement with Northeast Surgical Group, P.C. (NESG), a provider of surgical services in Michigan, for a potential violation under the Health Insurance Portability and Accountability Act of 1996 (HIPAA) Security Rule. OCR enforces the HIPAA Privacy, Security, and Breach Notification Rules, which set forth the requirements that covered entities (health plans, health care clearinghouses, and most health care providers), and business associates must follow to protect the privacy and security of protected health information (PHI). The HIPAA Security Rule establishes national standards to protect and secure our health care system by requiring administrative, physical, and technical safeguards to ensure the confidentiality, integrity, and security of electronic PHI. The settlement resolves an investigation concerning a ransomware attack on NESG's information system.
"One of the first steps in implementing effective cybersecurity in health care is assessing the potential risks and vulnerabilities to electronic protected health information," said OCR Director Melanie Fontes Rainer. "A failure to conduct a HIPAA risk analysis will leave a health care entity vulnerable to cyberattacks, such as hacking and ransomware‚ which is bad for our health care system and bad for patients. We can and must do better."
Ransomware and hacking are the primary cyberthreats in health care. Ransomware is a type of malware (malicious software) designed to deny access to a user's data, usually by encrypting the data with a key known only to the hacker who deployed the malware, until a ransom is paid. Since 2018, there has been a 264% increase in large breaches reported to OCR involving ransomware attacks. The settlement also marks the fourth enforcement action in OCR's Risk Analysis Initiative. This enforcement initiative was created to focus select investigations on compliance with the HIPAA Security Rule Risk Analysis provision, a key Security Rule requirement, and the foundation for effective cybersecurity and the protection of ePHI; to increase the number of completed investigations; and to highlight the need for more attention and better compliance with this Security Rule requirement.
In March 2023, OCR received a breach report concerning a ransomware incident that had affected NESG's information system. NESG concluded that the protected health information of 15,298 patients had been encrypted and exfiltrated from its network. OCR's investigation determined that NESG had failed to conduct a compliant risk analysis to determine the potential risks and vulnerabilities to ePHI in NESG's systems.
Under the terms of the resolution agreement, NESG agreed to implement a corrective action plan that OCR will monitor for two years and paid $10,000 to OCR. Under the corrective action plan, NESG will take steps to ensure compliance with the HIPAA Security Rule and protect the security of ePHI, including:
Conducting an accurate and thorough risk analysis to determine the potential risks and vulnerabilities to the confidentiality, integrity, and availability of its ePHI;
Implementing a risk management plan to address and mitigate security risks and vulnerabilities identified in their risk analysis;
Developing, maintaining, and revising, as necessary, its written policies and procedures to comply with the HIPAA Rules; and
Training its workforce on its HIPAA policies and procedures.
The resolution agreement and corrective action plan may be found at: https://www.hhs.gov/hipaa/for-professionals/compliance-enforcement/agreements/northeast-surgical-group-ra-cap/index.html</t>
  </si>
  <si>
    <t>West Virginia University Board of Governors</t>
  </si>
  <si>
    <t>The covered entity (CE), West Virginia University Board of Governors, reported that due to an employee error, the protected health information (PHI) of 2,453 individuals was posted on a public-facing website. The PHI involved included names, diagnoses, and other treatment information. The CE notified HHS, affected individuals, the media, and provided substitute notice. In response to the breach, the CE sanctioned the responsible workforce member, retrained its staff, and implemented additional technical safeguards and policies and procedures.</t>
  </si>
  <si>
    <t>Cerebral, Inc</t>
  </si>
  <si>
    <t>Cerebral, the business associate (BA) reported that it may have impermissibly disclosed the protected health information (PHI) of 3,179,835 individuals through the use of Internet tracking technologies. The PHI involved include names, addresses birthdates, diagnoses, and other treatment information. The BA notified HHS, affected individuals, the media, and provided substitute notice on its website. In response to the breach, Cerebral provided complimentary credit monitoring services and revised its policies and procedures, retrained workforce members, and implemented additional administrative and technical safeguards.</t>
  </si>
  <si>
    <t>Texas Medical Liability Trust</t>
  </si>
  <si>
    <t>The business associate (BA), Texas Medical Liability Trust, reported that it was the subject of a ransomware attack that affected the protected health information (PHI) of 2,069 individuals. The PHI involved included names, Social Security and drivers' license numbers, dates of birth, and financial information. The CE notified HHS, affected individuals, the media, and provided substitute notice. In response to the breach, the CE provided complimentary credit monitoring services and implemented additional administrative and technical safeguards.</t>
  </si>
  <si>
    <t>Valera Health</t>
  </si>
  <si>
    <t>Valera Health, the covered entity (CE), reported that it sent an encrypted data file that contained more than the minimum necessary of protected health information (PHI). This breach affected 2,317 individuals. The PHI involved included names, dates of birth, health insurance information, claims and financial information, and other treatment information. The CE reported that based on the risk assessment performed, it determined that there was a low probability of compromise of the security and privacy of the PHI. Based on OCR's review, there is no violation of the HIPAA Privacy, Security and Breach Notification Rules.</t>
  </si>
  <si>
    <t>Asante Ashland Community Hospital</t>
  </si>
  <si>
    <t>The covered entity (CE), Asante Ashland Community Hospital, reported that one of its affiliate providers impermissibly accessed the protected health information (PHI) of 8,834 individuals. The PHI involved included names, addresses, dates of birth, diagnoses, lab results, medications, and other treatment information. The CE notified HHS, affected individuals, the media, and provided substitute notice. In response to the breach, the CE sanctioned the responsible provider and implemented additional administrative safeguards to better protect PHI.</t>
  </si>
  <si>
    <t>Aloha Nursing Rehab Centre</t>
  </si>
  <si>
    <t>Aloha Nursing Rehab Centre, the covered entity (CE), reported that it experienced a ransomware attack that compromised the protected health information (PHI) of approximately 20,216 individuals. The PHI involved included names, Social Security and drivers' license numbers, addresses, birthdates, financial and claims information, diagnoses, lab results, and medications. The CE notified HHS, affected individuals, the media, and provided substitute notice. In its mitigation efforts, the CE provided complimentary credit monitoring services and implemented additional technical safeguards to better protect its sensitive data.</t>
  </si>
  <si>
    <t>Lawrence General Hospital</t>
  </si>
  <si>
    <t>The covered entity (CE), Lawrence General Hospital, reported that its business associate experienced a cyberattack affecting the protected health information (PHI) of 76,571 individuals. The PHI involved included names, addresses, Social Security numbers, dates of birth, and financial and treatment information. The CE notified HHS, affected individuals, and the media. In response to the breach, the CE provided complimentary credit monitoring services to affected individuals.</t>
  </si>
  <si>
    <t>Sharp Healthcare</t>
  </si>
  <si>
    <t>The covered entity (CE), Sharp Healthcare, reported that it experienced a cybersecurity incident that affected the protected health information (PHI) of 62,777 individuals. The PHI involved included names and financial and treatment information. The CE notified HHS, affected individuals, and the media. In its mitigation efforts, the CE strengthened its administrative, technical, and security safeguards. OCR provided technical assistance regarding the HIPAA Rules.</t>
  </si>
  <si>
    <t>Hutchinson Clinic, P.A.</t>
  </si>
  <si>
    <t>The covered entity (CE), Hutchinson Clinic, reported that it experienced a cyber-attack affecting the protected health information (PHI) of 215,632 individuals. The PHI involved included names, addresses, dates of birth, drivers' license and Social Security numbers, diagnoses, medications, and other treatment information. The CE notified HHS, affected individuals, the media, and posted substitute notice on its website. In response to the breach, the CE implemented additional administrative, technical, and security safeguards.</t>
  </si>
  <si>
    <t>West Cecil Health Center</t>
  </si>
  <si>
    <t>The covered entity (CE), West Cecil Health Center, reported that its business associate's (BA) scheduling platform had a code installed which compromised the protected health information (PHI) of 1,136 individuals. The PHI involved included names, dates of birth, addresses, clinical, and other treatment information. The CE notified HHS, affected individuals, and the media. In response to the breach, the BA removed the code, engaged a specialized cybersecurity firm to conduct a forensic investigation, and provided complimentary credit monitoring services to affected individuals.</t>
  </si>
  <si>
    <t>Troy Roeder DDS PC</t>
  </si>
  <si>
    <t>The covered entity (CE), Troy Roeder DDS, reported that employees impermissibly shared their passwords which compromised the protected health information (PHI) of 1,127 individuals. The PHI involved included names, addresses, and treatment information. In response to OCR's investigation, the CE implemented additional technical and physical safeguards, revised its policies and procedures, and retrained its employees on the HIPAA Privacy Rule. OCR provided technical assistance to the CE regarding its relevant Security Rule obligations.</t>
  </si>
  <si>
    <t>San Juan Regional Medical Center</t>
  </si>
  <si>
    <t>The covered entity (CE), San Juan Regional Medical Center, reported that its business associate experienced a cyber-attack that compromised the protected health information (PHI) of 8,500 individuals. The PHI involved included names, birthdates, Social Security numbers, diagnoses, and claims and financial information. The CE notified HHS, affected individuals, and the media. In its mitigation efforts, the CE provided complimentary credit monitoring services and severed its business relationship with the BA.</t>
  </si>
  <si>
    <t>Integrative Dentistry</t>
  </si>
  <si>
    <t>Integrative Dentistry, the covered entity (CE), reported that an employee impermissibly accessed the protected health information (PHI) of 2,454 individuals. The PHI involved included names, addresses, dates of birth, social security numbers, phone numbers, email addresses, financial and health insurance information, and other treatment information. The CE notified HHS, affected individuals, and the media. In its mitigation efforts, the CE imposed sanctions on the workforce member and implemented additional administrative and technical safeguards to protect PHI.</t>
  </si>
  <si>
    <t>Reventics, LLC</t>
  </si>
  <si>
    <t>CentraState Healthcare System, Inc.</t>
  </si>
  <si>
    <t>CentraState Healthcare System, the covered entity (CE), reported that it experienced a ransomware attack that compromised the protected health information (PHI) of 617,901 individuals. The PHI involved included names, addresses, dates of birth, health insurance information, diagnoses, lab results, and Social Security numbers. The CE notified HHS, affected individuals, the media, and posted substitute notice on its website. In its mitigation efforts, the CE provided complimentary credit monitoring services and implemented additional administrative, technical, and security safeguards to better protect its PHI.</t>
  </si>
  <si>
    <t>Intelligent Business Solutions</t>
  </si>
  <si>
    <t>The covered entity (CE), Intelligent Business Solutions, reported that it was the subject of a malware attack on its network systems that affected the protected health information (PHI) of 11,595 individuals. The PHI involved included names, Social Security numbers, addresses, dates of birth, claims information, diagnoses, lab results, medications, and treatment information. The CE notified HHS, affected individuals, the media, and provided substitute notice. In response to the breach, the CE provided complimentary credit monitoring services and implemented additional administrative and technical safeguards to better protect PHI.</t>
  </si>
  <si>
    <t>Highmark Inc</t>
  </si>
  <si>
    <t>Evergreen Treatment Services</t>
  </si>
  <si>
    <t>Evergreen Treatment Services, the covered entity (CE), reported that its computer system was breached by ransomware that compromised the protected health information (PHI) of 21,325 individuals. The PHI involved included names, addresses, dates of birth, Social Security numbers, diagnoses, medications, and other treatment information. The CE notified HHS, affected individuals, the media, and provided substitute notice. In its mitigation efforts, the CE provided complimentary credit monitoring and identity theft protection services and strengthened its administrative and technical safeguards. Staff were retrained.</t>
  </si>
  <si>
    <t>Highmark, Inc.</t>
  </si>
  <si>
    <t>Highmark, the covered entity (CE), reported that an employee was subject to an email phishing scheme that effected the protected health information (PHI) of 239,039 individuals. The PHI involved included names, dates of birth, driver's license numbers, addresses, Social Security numbers, claims and financial information, diagnoses, medications, and other treatment information. The CE notified HHS, affected individuals, the media, and posted substitute notice on its website. In its mitigation efforts, the CE implemented additional administrative, technical, and security safeguards to better protect its sensitive data. All staff were provided additional cybersecurity training including instruction on proper identification of fraudulent email communications.</t>
  </si>
  <si>
    <t>Wentworth Health Partners Garrison Women's Health</t>
  </si>
  <si>
    <t>The covered entity (CE), Wentworth Health Partners Garrison Women's Health, was informed by its business associate (BA) that it experienced a cyber-attack that compromised the protected health information (PHI) of 4,158 individuals. The PHI involved included names, addresses, dates of birth, dates of service, health insurance information, diagnoses, financial information, and other treatment information. The CE and BA notified HHS, affected individuals, the media, and provided substitute notice. In response to the breach, the CE provided complimentary credit monitoring services and implemented additional administrative, technical, and security safeguards to better protect PHI.</t>
  </si>
  <si>
    <t>Nelson Pharmacy Consulting Services PLC</t>
  </si>
  <si>
    <t>The covered entity (CE), Nelson Pharmacy Consulting Services, reported that it was the subject of a ransomware attack that affected the protected health information (PHI) of 13,752 individuals. The PHI involved included names, addresses, dates of birth, and diagnoses. The CE notified HHS, affected individuals, and the media. In response to the breach, the CE implemented additional administrative and technical safeguards.</t>
  </si>
  <si>
    <t>Cheyenne Radiology Group &amp; MRI, P.C.</t>
  </si>
  <si>
    <t>Tattnall County, Georgia</t>
  </si>
  <si>
    <t>The covered entity (CE), Tattnall County, Georgia, reported that it experienced a ransomware attack that affected the protected health information (PHI) of 1,337 individuals. The PHI involved included names, addresses, Social Security and drivers' license numbers, dates of birth, claims and financial information, diagnoses, medications, and other treatment information. The CE notified HHS, the affected individuals, the media, and provided substitute notice. In response to the breach, the CE provided complimentary credit monitoring services and implemented additional administrative, technical, and security safeguards to better protect its PHI.</t>
  </si>
  <si>
    <t>Health Benefit Plan of Bridgewater-Raritan Regional School District</t>
  </si>
  <si>
    <t>The covered entity (CE), Health Benefit Plan of Bridgewater-Raritan Regional School District, reported that it was the subject of a ransomware attack that affected the protected health information (PHI) of 3,909 individuals. The PHI involved included names, addresses, dates of birth, Social Security numbers, and plan enrollment information. The CE notified HHS, affected individuals, the media, and provided substitute notice. In response to the breach, the CE provided complimentary credit monitoring services and implemented additional administrative, technical, and security safeguards. Staff were retrained.</t>
  </si>
  <si>
    <t>90 Degree Benefits, Inc.</t>
  </si>
  <si>
    <t>NR Pennsylvania Associates, LLC</t>
  </si>
  <si>
    <t>NR Connecticut, LLC</t>
  </si>
  <si>
    <t>The covered entity (CE), NR Connecticut, reported that it experienced a ransomware incident that affected the protected health information (PHI) of 3,045 individuals. The PHI involved included names, addresses, dates of birth, Social Security numbers, and health information. The CE notified HHS, affected individuals, the media, and posted substitute notice on its website. In response to the breach, the CE offered free credit monitoring to affected individuals and implemented additional administrative, technical, and security safeguards. Staff were also retrained on obligations to protect and secure PHI.</t>
  </si>
  <si>
    <t>Teijin Automotive Technologies Welfare Plan</t>
  </si>
  <si>
    <t>The covered entity (CE), Teijin Automotive Technologies Welfare Plan, reported that it experienced a ransomware incident that affected the protected health information (PHI) of 25,464 individuals. The PHI involved included names, addresses, dates of birth, Social Security numbers, and financial and health insurance information. The CE notified HHS, affected individuals, the media, and posted substitute notice on its website. In response to the breach, the CE offered free credit monitoring services and implemented additional administrative, technical, and security safeguards. The CE retrained its staff on the requirements to protect and secure PHI. During the investigation, OCR provided the CE with technical assistance regarding the HIPAA Privacy and Security Rules.</t>
  </si>
  <si>
    <t>Skin MD, PLLC</t>
  </si>
  <si>
    <t>The covered entity (CE), Skin MD, reported that paper medical records containing the protected health information (PHI) of 7,558 individuals were improperly disposed of. The PHI involved includes names, addresses, dates of birth, Social Security numbers, diagnoses, lab results, medications, and financial information. The CE notified HHS, affected individuals, the media, and provided substitute notice. In response to the breach, the CE provided complimentary credit monitoring services and implemented additional administrative, technical, and security safeguards. Staff were retrained to better protect its PHI.</t>
  </si>
  <si>
    <t>Vitra Health, Inc.</t>
  </si>
  <si>
    <t>Rise Interactive Media &amp; Analytics, LLC</t>
  </si>
  <si>
    <t>The business associate (BA), Rise Interactive Media &amp; Analytics, reported that it experienced a ransomware incident that affected the protected health information (PHI) of 54,509 individuals. The PHI involved included names, dates of birth, addresses, health insurance information, diagnoses, and other treatment information. The BA notified HHS, affected individuals, the media, and provided substitute notice. In response to the breach, the CE implemented additional administrative, technical, and security safeguards.</t>
  </si>
  <si>
    <t>Cardiovascular Associates</t>
  </si>
  <si>
    <t>Southeast Colorado Hospital District</t>
  </si>
  <si>
    <t>The covered entity (CE), Southeast Colorado Hospital District, reported that an employee was the subject of an email phishing attack that affected the protected health information (PHI) 1,435 individuals. The PHI involved included names, addresses, birthdates, Social Security and drivers' license numbers, financial information, diagnoses, medications, and other treatment information. The CE notified HHS, affected individuals, the media, and provided substitute notice. In response to the breach, the CE provided complimentary credit monitoring services and implemented additional administrative, technical, and security safeguards. Staff were retrained on email security.</t>
  </si>
  <si>
    <t>Hospice of the Valley</t>
  </si>
  <si>
    <t>The covered entity (CE), Hospice of the Valley, reported that an employee was the victim of an email phishing attack affecting the protected health information (PHI) of 3,840 individuals. The PHI involved included names, addresses, health insurance information, diagnoses, and other treatment information. The CE notified HHS, affected individuals, and the media. In response to the breach, the CE implemented additional administrative and technical safeguards and provided complimentary credit monitoring services to affected individuals.</t>
  </si>
  <si>
    <t>UT Specialty Dental Services, PLLC d/b/a Aspire Surgical</t>
  </si>
  <si>
    <t>The covered entity (CE), UT Specialty Dental Services dba Aspire Surgical, reported that it experienced a cyber-attack that compromised the protected health information (PHI) of 5,327 individuals. The PHI involved included names and other treatment information. The CE notified HHS, affected individuals, the media, and provided substitute notice. In response to the breach, the CE implemented provided complimentary credit monitoring services and implemented additional administrative and technical safeguards to better protect its PHI. OCR provided technical assistance regarding the HIPAA Privacy and Security Rules.</t>
  </si>
  <si>
    <t>The Institute for Liver Health dba Arizona Liver Health-Arizona Clinical Trials</t>
  </si>
  <si>
    <t>The covered entity (CE), The Institute for Liver Health dba Arizona Clinical Trials and Arizona Liver Health, reported that it experienced a ransomware attack that affected the protected health information (PHI) of 1,277 individuals. The PHI involved included names, dates of birth, addresses, financial information, lab reports, and treatment information. The CE notified HHS and affected individuals. In response to the breach, the CE implemented additional administrative, technical, and security safeguards. Staff were retrained to better protect PHI.</t>
  </si>
  <si>
    <t>Arizona Health Advantage, Inc. d/b/a Arizona Priority Care; AZPC Clinics, LLC; and the health plans for which APC has executed a BAA, listed below</t>
  </si>
  <si>
    <t>Regal Medical Group,Lakeside Medical Organization, ADOC Acquisition, &amp; Greater Covina Medical Group</t>
  </si>
  <si>
    <t>Brooks Rehabilitation</t>
  </si>
  <si>
    <t>DotHouse Health Incorporated</t>
  </si>
  <si>
    <t>Benefit Administrative Systems, LLC (BAS)</t>
  </si>
  <si>
    <t>Stroke Scan Inc</t>
  </si>
  <si>
    <t>Stroke Scan reported that it experienced a security incident when an employee received an email from a hacker stating that they had access to his personal information via his home computer. While investigating this breach, OCR determined that Stroke Scan is not a covered entity and therefore, the investigation was closed.</t>
  </si>
  <si>
    <t>Benefit Management, LLC</t>
  </si>
  <si>
    <t>The business associate (BA), Benefit Management, reported that multiple employees were the subjects of an email phishing scheme that compromised the protected health information (PHI) of 29,119 individuals. The PHI involved included names, addresses, dates of birth, drivers' license and Social Security numbers, claims and financial information, diagnoses, lab results, and medications. The BA notified HHS, the affected individuals, the media, and provided substitute notice. In response to the breach, the BA provided complimentary credit monitoring services and implemented additional administrative, technical, and security safeguards. Staff were retrained on email security.</t>
  </si>
  <si>
    <t>Hayward Sisters Hospital d/b/a St. Rose Hospital</t>
  </si>
  <si>
    <t>The covered entity (CE), Hayward Sisters Hospital dba St. Rose Hospital, reported that it was the subject of a ransomware attack that affected the protected health information (PHI) of 115,241 individuals. The PHI involved included names, addresses, dates of birth, Social Security numbers, drivers' license and passport numbers, e-mail addresses, claims and financial information, diagnoses, lab results, medications, health insurance information, and other treatment information. The CE notified HHS, affected individuals, and the media. In response to the breach, the CE provided complimentary credit monitoring services and implemented additional administrative, technical, and security safeguards to better protect its PHI.</t>
  </si>
  <si>
    <t>Howard Memorial Hospital</t>
  </si>
  <si>
    <t>The covered entity (CE), Howard Memorial Hospital, reported that it experienced a cyber-attack that affected the protected health information (PHI) of approximately 53,688 individuals. The PHI involved included names, dates of birth, addresses, Social Security numbers, diagnoses, lab results, medications, and other treatment information. The CE notified HHS, affected individuals, and the media. In response to the breach, the CE strengthened its administrative and technical safeguards to better protect sensitive data.</t>
  </si>
  <si>
    <t>Valley Care Home Health Services, Inc.</t>
  </si>
  <si>
    <t>The covered entity (CE), Valley Care Home Health Services, reported that an intruder broke into its office and took a safe which stored encrypted back up hard drives containing the protected health information (PHI) of 2,674 individuals. The PHI involved included names, addresses, dates of birth, Social Security numbers, diagnoses, lab results, medications, and other treatment information. The CE notified HHS, affected individuals, the media, local law enforcement, and provided substitute notice. In its mitigation efforts, the CE revised its policies and procedures and implemented additional physical safeguards. Staff were retrained to better protect PHI.</t>
  </si>
  <si>
    <t>Peachtree Immediate Care FP, LLC</t>
  </si>
  <si>
    <t>The covered entity (CE), Peachtree Immediate Care, reported that an employee of its business associate (BA) mailed letters containing the protected health information (PHI) of 2,555 individuals to the wrong recipients. The PHI involved were names and other demographic information. The CE notified HHS, the affected individuals, and provided substitute notice. In response to the breach, the CE implemented additional administrative, technical, and security safeguards.</t>
  </si>
  <si>
    <t>City of Cleveland Health Plan</t>
  </si>
  <si>
    <t>The covered entity (CE), City of Cleveland Health Plan, inadvertently posted the protected health information (PHI) of 15,206 individuals to a public website. The PHI involved included names, Social Security numbers, medication information, and financial information. The CE notified HHS, affected individuals, and the media. In response to the breach, the CE implemented additional administrative safeguards.</t>
  </si>
  <si>
    <t>DCH Health System</t>
  </si>
  <si>
    <t>The covered entity (CE), DCH Health System, reported that an employee impermissibly accessed the protected health information (PHI) of 2,530 individuals. The PHI involved included names, dates of birth, drivers' license numbers, Social Security numbers, addresses, lab results, medications, diagnoses, and other treatment information. The CE notified HHS, affected individuals, the media, and posted substitute notice on its website. In response to the breach, the CE sanctioned the responsible employee, retrained its workforce, and implemented additional administrative safeguards. Complimentary credit monitoring services were provided to affected individuals.</t>
  </si>
  <si>
    <t>Chico Immediate Care Medical Center, Inc.</t>
  </si>
  <si>
    <t>The covered entity (CE), Chico Immediate Care Medical Center, reported that a workforce member impermissibly accessed the protected health information (PHI) of 3,780 individuals. The PHI involved included names, addresses, and phone numbers. The CE ceased operations and is no longer in business; the investigation was therefore closed.</t>
  </si>
  <si>
    <t>Health Plan of San Mateo</t>
  </si>
  <si>
    <t>The covered entity (CE), Health Plan of San Mateo, reported that a subcontractor of its business associate (BA) experienced a ransomware incident that affected the protected health information (PHI) of 4,032 individuals. The PHI involved included names, dates of birth, health insurance information, diagnoses, and health assessment information. The CE notified HHS, affected individuals, the media, and posted substitute notice on its website. In response to the breach, the CE and BA implemented additional administrative, technical, and security safeguards and retrained its employees.</t>
  </si>
  <si>
    <t>mscripts¬Æ, LLC</t>
  </si>
  <si>
    <t>The business associate (BA), mscripts, reported that a cloud storage asset lacked appropriate security safeguards that could have allowed the unauthorized access to the protected health information (PHI) of 88,923individuals. The PHI involved included names, dates of birth, addresses, medication information, and health insurance information. The BA notified HHS, affected individuals, and the media. The BA strengthened its technical and security safeguards to better protect its sensitive data. OCR provided technical assistance regarding the HIPAA Rules.</t>
  </si>
  <si>
    <t>University of Colorado Hospital Authority</t>
  </si>
  <si>
    <t>The covered entity (CE), University of Colorado Hospital Authority, reported that its business associate (BA) experienced a cyber-attack that compromised the protected health information (PHI) of 49,881 individuals. The PHI involved included names, addresses, dates of birth, Social Security and drivers' license numbers, financial information, diagnoses, lab results, medications, and other treatment information. The CE notified HHS, affected individuals, the media, and provided substitute notice. In response to the breach, the CE and BA provided complimentary credit monitoring services and implemented additional administrative, technical, and security safeguards. Staff were retrained on the requirements to protect and secure PHI.</t>
  </si>
  <si>
    <t>Community Health Network, Inc.</t>
  </si>
  <si>
    <t>OCR opened a compliance review into the covered entity (CE), Community Health Network, due to its potential use of online tracking technology. In response to the compliance review, the CE determined that the protected health information (PHI) of 1,237 individuals was impermissibly disclosed to third-party tracking technology vendors, such as Facebook and Google. The PHI involved included names, health insurance information, IP addresses, and treatment information. The CE notified HHS, affected individuals, the media, and provided substitute notice. In response to the breach, the CE ceased using online tacking technology and implemented additional administrative and technical safeguards.</t>
  </si>
  <si>
    <t>1st Franklin Financial Corporation Master Welfare Benefit Plan</t>
  </si>
  <si>
    <t>1st Franklin Financial Corporation Master Welfare Benefit Plan, the covered entity (CE), reported that employees experienced an email phishing incident that resulted in the deployment of ransomware that compromised the protected health information (PHI) of 3,039 individuals. The PHI involved included names, Social Security numbers, and health insurance information. The CE notified HHS, affected individuals, the media, and posted substitute notice on its website. In response to the breach, the CE strengthened its technical safeguards and retrained its workforce on identifying potential phishing schemes.</t>
  </si>
  <si>
    <t>The business associate (BA), Intelligent Business Solutions, reported that it experienced a ransomware incident that affected the protected health information (PHI) of 11,595 individuals. The PHI involved included names, addresses, dates of birth, Social Security numbers, claims information, diagnoses, lab results, medications, and other treatment information. The BA notified HHS, affected individuals, the media, and provided substitute notice. In response to the breach, the BA strengthened its administrative, technical, and security safeguards.</t>
  </si>
  <si>
    <t>Jefferson County Health Center d/b/a Jefferson County Health Department</t>
  </si>
  <si>
    <t>The covered entity (CE), Jefferson County Health Center dba Jefferson County Health Department, reported that it experienced a ransomware incident that affected the protected health information (PHI) of 115,940 individuals. The PHI involved included names, Social Security numbers, dates of birth, addresses, drivers' license numbers, diagnoses, lab results, medications, claims and financial information, and other treatment information. The CE notified HHS, affected individuals, the media, and published substitute notice. In response to the breach, the CE offered free credit monitoring and implemented additional administrative and technical safeguards. Staff were also retrained in its requirements to protect and secure PHI.</t>
  </si>
  <si>
    <t>DPP II, LLC</t>
  </si>
  <si>
    <t>Rundle Eye Associates</t>
  </si>
  <si>
    <t>The covered entity (CE), Rundle Eye Associates, reported that it experienced a ransomware attack that affected the protected health information (PHI) of 7,528 individuals. The PHI involved included names, dates of birth, diagnoses, and other treatment information. The CE notified HHS, affected individuals, the media, and provided substitute notice. In response to the breach the CE implemented additional administrative and technical safeguards and provided complimentary credit monitoring services to affected individuals. OCR also provided technical assistance to the CE regarding the HIPAA Rules.</t>
  </si>
  <si>
    <t>UCLA Health</t>
  </si>
  <si>
    <t>The covered entity (CE), UCLA Health, reported that analytic tools on its website may have transmitted the protected health information (PHI) of 94,000 individuals to its service providers. The PHI involved included names, dates of birth, and other identifiers. The CE notified HHS, affected individuals, the media, and provided substitute notice on its website. In response to the breach, the CE strengthened its administrative and technical safeguards to better protect its PHI. OCR provided technical assistance to the CE regarding the HIPAA Rules..</t>
  </si>
  <si>
    <t>The covered entity (CE), Minnesota Department of Human Services, reported that an employee inadvertently emailed billing statements that contained the protected health information (PHI) of 4,307 individuals to an unauthorized individual. The PHI involved included names, addresses, and claims and financial information. The CE notified HHS, affected individuals, the media, and posted substitute notice on its website. In response to the breach, the CE implemented additional administrative, technical, and security safeguards, and retrained workforce members to better protect its PHI. OCR provided technical assistance to the CE regarding the HIPAA Security Rule.</t>
  </si>
  <si>
    <t>Community Psychiatry Management, LLC, dba Mindpath Health</t>
  </si>
  <si>
    <t>The covered entity (CE), Community Psychiatry Management dba Mindpath Health, reported that several employees were the victims of an email phishing scheme that compromised the protected health information (PHI) of 193,947 individuals. The PHI involved included names, addresses, dates of birth, drivers' license numbers, Social Security numbers, diagnoses, and other treatment information. The CE notified HHS, affected individuals, the media, and posted substitute notice on its website. In response to the breach, the CE provided complimentary credit monitoring services and implemented additional administrative, technical, and security safeguards. Staff were retrained on email security precautions.</t>
  </si>
  <si>
    <t>Macoby Street Operations LLC d/b/a Pennsburg Manor</t>
  </si>
  <si>
    <t>The covered entity (CE), Macoby Street Operations, LLC dba Pennsburg Manor, reported that it was the subject of a ransomware attack that affected the protected health information (PHI) of 1,547 individuals. The PHI involved included names, addresses, dates of birth, drivers' license and Social Security numbers, diagnoses, lab results, medications prescribed, and other treatment information. The CE notified HHS, affected individuals, the media, and provided substitute notice. In response to the breach, the CE provided complimentary credit monitoring services and implemented additional administrative, technical, and security safeguards to better protect its PHI.</t>
  </si>
  <si>
    <t>BayCare Clinic, LLP</t>
  </si>
  <si>
    <t>The covered entity (CE), BayCare Clinic, reported that its business associate (BA) used digital tracking technology that may have compromised the protected health information (PHI) of 134,000 individuals. The PHI involved included names and treatment information. The CE notified HHS and affected individuals; the BA notified the media and posted substitute notice on its website.</t>
  </si>
  <si>
    <t>Vascular Institute of Houston, PLLC</t>
  </si>
  <si>
    <t>The covered entity (CE), the Vascular Institute of Houston, reported that its business associate (BA) blocked its access to the protected health information (PHI) of 1,195 of its patients. Technical assistance was provided to resolve this incident.</t>
  </si>
  <si>
    <t>Vascular Institute of North Texas, PLLC</t>
  </si>
  <si>
    <t>The covered entity (CE), the Vascular Institute of North Texas, reported that its business associate (BA) blocked its access to the protected health information (PHI) of 5,853 of its patients. Technical assistance was provided to resolve this incident.</t>
  </si>
  <si>
    <t>Pershing Health System</t>
  </si>
  <si>
    <t>The covered entity (CE), Pershing Health System, reported that several employees were the subjects of an email phishing incident that compromised the protected health information (PHI) of 5,368 individuals. The PHI involved included names, addresses, dates of birth, Social Security numbers, and treatment information. The CE notified HHS, affected individuals, and the media. In response to the breach, the CE offered free credit monitoring services and implemented additional administrative, technical, and security safeguards. The CE also retrained staff on email security precautions.</t>
  </si>
  <si>
    <t>Insulet Corporation</t>
  </si>
  <si>
    <t>Texas Orthopaedic &amp; Sports Medicine</t>
  </si>
  <si>
    <t>The covered entity (CE), Texas Orthopaedic &amp; Sports Medicine Center, reported that it experienced a ransomware attack that affected the protected health information (PHI) of 1,064 individuals. The PHI involved included names, dates of birth, addresses, drivers' license numbers, diagnoses, lab results, medications, and other treatment information. The CE notified HHS, affected individuals, and the media. To prevent future similar security incidents, the CE implemented additional administrative, technical, and security safeguards.</t>
  </si>
  <si>
    <t>Live Oak Surgery Center</t>
  </si>
  <si>
    <t>Live Oak Surgery Center, the covered entity (CE), reported that several employees were the subjects of an email phishing scheme that compromised the protected health information (PHI) of 5,264 individuals. The PHI involved included names, addresses, dates of birth, Social Security numbers, drivers' license numbers, financial information diagnoses, and other treatment information. The CE notified HHS, affected individuals, and the media. In response to the breach, the CE implemented additional safeguards and retrained its staff on email security.</t>
  </si>
  <si>
    <t>Barclay Damon LLP</t>
  </si>
  <si>
    <t>The business associate (BA), Barclay Damon, reported that an employee was the subject of an email phishing scheme that compromised the protected health information (PHI) of 1,039 individuals. The PHI involved included names, drivers' license and/or state identification numbers, diagnoses, medications, claims and financial information, and health insurance and other treatment information. The BA notified HHS, affected individuals, and the media. In its mitigation efforts, the CE implemented additional administrative and technical safeguards and retrained its staff on email security.</t>
  </si>
  <si>
    <t>Circles of Care, Inc.</t>
  </si>
  <si>
    <t>Circles of Care, the covered entity (CE), reported that it experienced a ransomware attack that compromised the protected health information (PHI) of 61,170 individuals. The PHI involved included names, dates of birth, addresses, diagnoses, claims information, Social Security numbers, and other treatment information. The CE notified HHS, affected individuals, and the media. In response to the breach, the CE implemented additional administrative and technical safeguards and retrained its staff to better protect PHI.</t>
  </si>
  <si>
    <t>Electrostim Medical Services, Inc. d/b/A EMSI</t>
  </si>
  <si>
    <t>Medical Center Barbour</t>
  </si>
  <si>
    <t>Lake County Health Department and Community Health Center</t>
  </si>
  <si>
    <t>Meridian Behavioral Healthcare, Inc.</t>
  </si>
  <si>
    <t>Mountain Dermatology Specialists, PC</t>
  </si>
  <si>
    <t>Kent County Community Mental Health Authority d/b/a Network180</t>
  </si>
  <si>
    <t>Clay County Social Services</t>
  </si>
  <si>
    <t>The Foleck Center, LTD</t>
  </si>
  <si>
    <t>Retina Group of Washington, PLLC</t>
  </si>
  <si>
    <t>HealthEC LLC</t>
  </si>
  <si>
    <t>First Choice Dental</t>
  </si>
  <si>
    <t>Southeastern Orthopaedic Specialists, PA</t>
  </si>
  <si>
    <t>Plaza Radiology, LLC</t>
  </si>
  <si>
    <t>Marathon County Special Education</t>
  </si>
  <si>
    <t>ESO Solutions, Inc.</t>
  </si>
  <si>
    <t>Primary Health &amp; Wellness Center, LLC</t>
  </si>
  <si>
    <t>Erie Family Health Center, Inc. d/b/a Erie Family Health Centers</t>
  </si>
  <si>
    <t>D'Youville Life and Wellness Community, Inc.</t>
  </si>
  <si>
    <t>Heart of Texas Behavioral Health Network</t>
  </si>
  <si>
    <t>Healix Infusion Therapy, LLC</t>
  </si>
  <si>
    <t>Keenan &amp; Associates</t>
  </si>
  <si>
    <t>Health Alliance Hospital Mary's Avenue Campus</t>
  </si>
  <si>
    <t>Independent Living Systems, LLC</t>
  </si>
  <si>
    <t>Akumin Operating Corp.</t>
  </si>
  <si>
    <t>The Children’s Home of Wyoming Conference</t>
  </si>
  <si>
    <t>F&amp;E Aviation Holdings, Inc.</t>
  </si>
  <si>
    <t>Chesapeake Regional Healthcare</t>
  </si>
  <si>
    <t>W.P. Malone, Inc. d/b/a AllCare Pharmacy</t>
  </si>
  <si>
    <t>County of Rock, WI</t>
  </si>
  <si>
    <t>Foursquare Healthcare, Ltd.</t>
  </si>
  <si>
    <t>Inline Plastics Corp.</t>
  </si>
  <si>
    <t>Equality Health, LLC</t>
  </si>
  <si>
    <t>Morrison Community Hospital District</t>
  </si>
  <si>
    <t>Molina Healthcare of Iowa, Inc.</t>
  </si>
  <si>
    <t>Saisystems International, Inc.</t>
  </si>
  <si>
    <t>East River Medical Imaging, PC</t>
  </si>
  <si>
    <t>Columbus Aesthetic and Plastic Surgery</t>
  </si>
  <si>
    <t>TGI Direct, Inc.</t>
  </si>
  <si>
    <t>1st Source Bank</t>
  </si>
  <si>
    <t>Jacksonville Children's and Multispecialty Clinic</t>
  </si>
  <si>
    <t>Community Dental</t>
  </si>
  <si>
    <t>Psychiatry Associates of Kansas City</t>
  </si>
  <si>
    <t>Wyoming County Community Health System</t>
  </si>
  <si>
    <t>CareTree, Inc.</t>
  </si>
  <si>
    <t>Woodfords Family Services</t>
  </si>
  <si>
    <t>Warren General Hospital</t>
  </si>
  <si>
    <t>Mariner Management Group</t>
  </si>
  <si>
    <t>Pharmacy Group of Mississippi, LLC</t>
  </si>
  <si>
    <t>Wyndemere Senior Care LLC</t>
  </si>
  <si>
    <t>Healthsoft LLC</t>
  </si>
  <si>
    <t>South Austin Health Imaging LLC dba Longhorn Imaging Center</t>
  </si>
  <si>
    <t>WACOSA</t>
  </si>
  <si>
    <t>Westat, Inc.</t>
  </si>
  <si>
    <t>Mulkay Cardiology Consultants at Holy Name Medical Center, P.C.</t>
  </si>
  <si>
    <t>Postmeds, Inc.</t>
  </si>
  <si>
    <t>Longhorn Village</t>
  </si>
  <si>
    <t>Northern Iowa Therapy PC</t>
  </si>
  <si>
    <t>JDA eHealth Systems, Inc. d/b/a Parathon</t>
  </si>
  <si>
    <t>University of Michigan, on behalf of certain HIPAA-covered functions of the University that operate as a HIPAA hybrid entity</t>
  </si>
  <si>
    <t>La Red Health Center</t>
  </si>
  <si>
    <t>Hospital &amp; Medical Foundation of Paris, Inc</t>
  </si>
  <si>
    <t>BHI Energy Health and Welfare Benefits Plan</t>
  </si>
  <si>
    <t>Peerstar LLC</t>
  </si>
  <si>
    <t>Premier Health Partners and wholly owned covered entities listed in description section below</t>
  </si>
  <si>
    <t>Arietis Health, LLC</t>
  </si>
  <si>
    <t>Physio Logic Medicine, PC</t>
  </si>
  <si>
    <t>International Business Machines Corporation</t>
  </si>
  <si>
    <t>Physio Logic Chiropractic and Physical Therapy, PLLC and Dr. Patty DiBlasio, PC</t>
  </si>
  <si>
    <t>Acadia Health, LLC d/b/a Just Kids Dental</t>
  </si>
  <si>
    <t>Entertainment Community Fund, dba Actors Fund Home</t>
  </si>
  <si>
    <t>AIDS Alabama, Inc.</t>
  </si>
  <si>
    <t>Community First Medical Center</t>
  </si>
  <si>
    <t>Riverdale Mental Health d/b/a Mosaic Mental Health</t>
  </si>
  <si>
    <t>Navvis &amp; Company, LLC</t>
  </si>
  <si>
    <t>Health First, Inc.</t>
  </si>
  <si>
    <t>Erlanger Health, Inc.</t>
  </si>
  <si>
    <t>Pharm-Pacc Corporation</t>
  </si>
  <si>
    <t>Laboratory Corporation of America Holdings dba LabCorp</t>
  </si>
  <si>
    <t>Ryders Health Management LLC</t>
  </si>
  <si>
    <t>Georgia Hand, Shoulder &amp; Elbow, PC</t>
  </si>
  <si>
    <t>PurFoods, LLC</t>
  </si>
  <si>
    <t>Associates in Pediatric Dentistry</t>
  </si>
  <si>
    <t>PRIME THERAPEUTICS LLC</t>
  </si>
  <si>
    <t>Absolute Dental Services</t>
  </si>
  <si>
    <t>Advanced Reproductive Health Center Ltd., d/b/a Chicago IVF</t>
  </si>
  <si>
    <t>Aspen Dental Management, Inc.</t>
  </si>
  <si>
    <t>TAG Urgent Care Support Services, LLC</t>
  </si>
  <si>
    <t>Privia Medical Group of Georgia, LLC</t>
  </si>
  <si>
    <t>Morris Hospital &amp; Healthcare Centers</t>
  </si>
  <si>
    <t>Monocacy Valley Dental Brian K. Motz, DDS, PC</t>
  </si>
  <si>
    <t>Nice Pak Products Inc., Health and Welfare Benefits Plan</t>
  </si>
  <si>
    <t>TRACT Radiology</t>
  </si>
  <si>
    <t>VNS Health Plans</t>
  </si>
  <si>
    <t>Coastal Orthopedics &amp; Sports Medicine of Southwest Florida</t>
  </si>
  <si>
    <t>Allison Transmission Inc. Health Care Program for Hourly Employees / Wellness Program for Salaried Employees</t>
  </si>
  <si>
    <t>Harris Eye Care</t>
  </si>
  <si>
    <t>Cranberry Township Emergency Medical Service</t>
  </si>
  <si>
    <t>Maximus, Inc.</t>
  </si>
  <si>
    <t>Unum Group SACE</t>
  </si>
  <si>
    <t>Self-insured group health plans sponsored by the City of Dallas</t>
  </si>
  <si>
    <t>Plumbers Local 8 Health &amp; Welfare Fund</t>
  </si>
  <si>
    <t>HCA Healthcare</t>
  </si>
  <si>
    <t>Dean Health Service Company, LLC (referenced herein as "WellFirst Health")</t>
  </si>
  <si>
    <t>The Chattanooga Heart Institute</t>
  </si>
  <si>
    <t>Florida Health Sciences Center, Inc. dba Tampa General Hospital</t>
  </si>
  <si>
    <t>CareSource</t>
  </si>
  <si>
    <t>Life Management Center of Northwest Florida, Inc.</t>
  </si>
  <si>
    <t>Family Vision of Anderson, P.A.</t>
  </si>
  <si>
    <t>Bi-Bett Corporation</t>
  </si>
  <si>
    <t>Pennsylvania Department of Human Services</t>
  </si>
  <si>
    <t>New England Life Care, Inc.</t>
  </si>
  <si>
    <t>Mindful Innovations, PLLC</t>
  </si>
  <si>
    <t>Desktop Computer, Electronic Medical Record, Email, Laptop</t>
  </si>
  <si>
    <t>Associated Pathologists, LLC dba PathGroup Health Plan</t>
  </si>
  <si>
    <t>IVF Michigan, P.C.</t>
  </si>
  <si>
    <t>Beacon Specialized Living</t>
  </si>
  <si>
    <t>East Houston Medicine and Pediatrics Clinic</t>
  </si>
  <si>
    <t>Kansas Joint &amp; Spine Specialists</t>
  </si>
  <si>
    <t>Konen &amp; Associates dba Unified Pain Management</t>
  </si>
  <si>
    <t>Aria Care Partners</t>
  </si>
  <si>
    <t>Catholic Charities of the Archdiocese of Newark</t>
  </si>
  <si>
    <t>Precision Anesthesia Billing LLC</t>
  </si>
  <si>
    <t>Miracle-Ear Flagship, LLC</t>
  </si>
  <si>
    <t>Parsley Health, Inc.</t>
  </si>
  <si>
    <t>ARx Patient Solutions</t>
  </si>
  <si>
    <t>Mount Desert Island Hospital, Inc.</t>
  </si>
  <si>
    <t>South Suburban Surgical Suites, LLC</t>
  </si>
  <si>
    <t>Activate Healthcare LLC</t>
  </si>
  <si>
    <t>Desert Physicians Management</t>
  </si>
  <si>
    <t>DMS Health Technologies, Inc.</t>
  </si>
  <si>
    <t>Murfreesboro Medical Clinic &amp; SurgiCenter</t>
  </si>
  <si>
    <t>Peachtree Orthopaedic Clinic, P.A.</t>
  </si>
  <si>
    <t>Atrium Health Wake Forest Baptist</t>
  </si>
  <si>
    <t>New Horizons Medical, Inc</t>
  </si>
  <si>
    <t>Uponor North America</t>
  </si>
  <si>
    <t>Intellihartx, LLC</t>
  </si>
  <si>
    <t>John N. Evans, DPM</t>
  </si>
  <si>
    <t>CareNet Medical Group, PC</t>
  </si>
  <si>
    <t>Classic Residence Management Limited Partnership</t>
  </si>
  <si>
    <t>Pain Relief Centers PA</t>
  </si>
  <si>
    <t>Builders FirstSource Flex Plan</t>
  </si>
  <si>
    <t>Onix Group</t>
  </si>
  <si>
    <t>Lancaster Orthopedic Group</t>
  </si>
  <si>
    <t>Asian Health Services</t>
  </si>
  <si>
    <t>Harvard Pilgrim Health Care</t>
  </si>
  <si>
    <t>MedInform, Inc.</t>
  </si>
  <si>
    <t>PillPack LLC</t>
  </si>
  <si>
    <t>Lehigh Valley Health Network (blackcat)</t>
  </si>
  <si>
    <t>Illinois Department of Healthcare and Family Services, Illinois Department of Human Services</t>
  </si>
  <si>
    <t>IMA Financial Group, Inc.</t>
  </si>
  <si>
    <t>Methodist Family Health</t>
  </si>
  <si>
    <t>Northwest Health – La Porte</t>
  </si>
  <si>
    <t>Allina Health</t>
  </si>
  <si>
    <t>CounSol, LLC</t>
  </si>
  <si>
    <t>Mars Area School District</t>
  </si>
  <si>
    <t>Upstream RollCo, LLC</t>
  </si>
  <si>
    <t>Robeson Health Care Corporation</t>
  </si>
  <si>
    <t>Modern Cardiology Associates</t>
  </si>
  <si>
    <t>Graceworks Lutheran Services</t>
  </si>
  <si>
    <t>MiniMed Distribution Corp.</t>
  </si>
  <si>
    <t>Henry County Hospital</t>
  </si>
  <si>
    <t>NationsBenefits Holdings, LLC</t>
  </si>
  <si>
    <t>La Clínica de La Raza, Inc.</t>
  </si>
  <si>
    <t>NORTHEAST BEHAVIORAL HEALTH CARE CONSORTIUM</t>
  </si>
  <si>
    <t>Southwest Healthcare Services</t>
  </si>
  <si>
    <t>Monument, Inc.</t>
  </si>
  <si>
    <t>ProSmile Holdings, LLC</t>
  </si>
  <si>
    <t>Nonstop Administration and Insurance Services, Inc.</t>
  </si>
  <si>
    <t>Atlantic General Hospital</t>
  </si>
  <si>
    <t>NewYork-Presbyterian Hospital</t>
  </si>
  <si>
    <t>Community Health Systems Professional Services Corporations (CHSPSC), LLC</t>
  </si>
  <si>
    <t>Healthy Options dba Postal Prescription Services – Kroger</t>
  </si>
  <si>
    <t>Top of the World Ranch Treatment Center</t>
  </si>
  <si>
    <t>NorthStar Emergency Medical Services</t>
  </si>
  <si>
    <t>ZOLL Services LLC</t>
  </si>
  <si>
    <t>Colquitt Complete Care, LLC</t>
  </si>
  <si>
    <t>The M K Morse Company's Health Plan</t>
  </si>
  <si>
    <t>SundaySky, Inc.</t>
  </si>
  <si>
    <t>Trinity Health</t>
  </si>
  <si>
    <t>Denver Public Schools Medical Plans</t>
  </si>
  <si>
    <t>Codman Square Health Center</t>
  </si>
  <si>
    <t>MHMR Authority of Brazos Valley</t>
  </si>
  <si>
    <t>Harrisburg Medical Center (“HMC”)</t>
  </si>
  <si>
    <t>Frank R. Laurri, M.D. and Associates, P.C.</t>
  </si>
  <si>
    <r>
      <rPr/>
      <t xml:space="preserve">Source: </t>
    </r>
    <r>
      <rPr>
        <color rgb="FF1155CC"/>
        <u/>
      </rPr>
      <t>https://ocrportal.hhs.gov/ocr/breach/breach_report.jsf</t>
    </r>
    <r>
      <rPr/>
      <t xml:space="preserve"> </t>
    </r>
  </si>
  <si>
    <t>UK:</t>
  </si>
  <si>
    <t>BI Reference</t>
  </si>
  <si>
    <t>Decision Taken</t>
  </si>
  <si>
    <t>Incident Category</t>
  </si>
  <si>
    <t>Incident Type</t>
  </si>
  <si>
    <t>No. Data Subjects Affected (only above 1000)</t>
  </si>
  <si>
    <t>Sector</t>
  </si>
  <si>
    <t>Time Taken to Report</t>
  </si>
  <si>
    <t>Number of Incidents</t>
  </si>
  <si>
    <t>BI13755</t>
  </si>
  <si>
    <t>Informal Action Taken</t>
  </si>
  <si>
    <t>Cyber</t>
  </si>
  <si>
    <t>Phishing</t>
  </si>
  <si>
    <t>1k to 10k</t>
  </si>
  <si>
    <t>Less than 24 hours</t>
  </si>
  <si>
    <t>BI13584</t>
  </si>
  <si>
    <t>Not Yet Assigned</t>
  </si>
  <si>
    <t>Non Cyber</t>
  </si>
  <si>
    <t>Hardware/software misconfiguration</t>
  </si>
  <si>
    <t>More than 1 week</t>
  </si>
  <si>
    <t>BI13176</t>
  </si>
  <si>
    <t>Other non-cyber incident</t>
  </si>
  <si>
    <t>10k to 100k</t>
  </si>
  <si>
    <t>72 hours to 1 week</t>
  </si>
  <si>
    <t>BI13099</t>
  </si>
  <si>
    <t>Failure to use bcc</t>
  </si>
  <si>
    <t>24 hours to 72 hours</t>
  </si>
  <si>
    <t>BI13081</t>
  </si>
  <si>
    <t>BI12903</t>
  </si>
  <si>
    <t>No Further Action</t>
  </si>
  <si>
    <t>Other cyber incident</t>
  </si>
  <si>
    <t xml:space="preserve"> </t>
  </si>
  <si>
    <t>BI12900</t>
  </si>
  <si>
    <t>Ransomware</t>
  </si>
  <si>
    <t>BI12855</t>
  </si>
  <si>
    <t>Investigation Pursued</t>
  </si>
  <si>
    <t>BI12816</t>
  </si>
  <si>
    <t>Loss/theft of paperwork or data left in insecure location</t>
  </si>
  <si>
    <t>BI12741</t>
  </si>
  <si>
    <t>BI12645</t>
  </si>
  <si>
    <t>BI12588</t>
  </si>
  <si>
    <t>BI12430</t>
  </si>
  <si>
    <t>BI12277</t>
  </si>
  <si>
    <t>Unauthorised access</t>
  </si>
  <si>
    <t>BI12247</t>
  </si>
  <si>
    <t>BI11918</t>
  </si>
  <si>
    <t>Loss/theft of device containing personal data</t>
  </si>
  <si>
    <t>BI11863</t>
  </si>
  <si>
    <t>Data emailed to incorrect recipient</t>
  </si>
  <si>
    <t>BI11835</t>
  </si>
  <si>
    <t>BI11766</t>
  </si>
  <si>
    <t>BI11424</t>
  </si>
  <si>
    <t>BI11347</t>
  </si>
  <si>
    <t>BI11296</t>
  </si>
  <si>
    <t>BI11251</t>
  </si>
  <si>
    <t>BI11113</t>
  </si>
  <si>
    <t>100k and above</t>
  </si>
  <si>
    <t>BI11023</t>
  </si>
  <si>
    <t>BI10967</t>
  </si>
  <si>
    <t>BI16961</t>
  </si>
  <si>
    <t>BI16839</t>
  </si>
  <si>
    <t>BI16779</t>
  </si>
  <si>
    <t>BI16738</t>
  </si>
  <si>
    <t>BI16502</t>
  </si>
  <si>
    <t>BI16312</t>
  </si>
  <si>
    <t>BI16222</t>
  </si>
  <si>
    <t>BI16220</t>
  </si>
  <si>
    <t>BI16175</t>
  </si>
  <si>
    <t>BI16174</t>
  </si>
  <si>
    <t>BI16173</t>
  </si>
  <si>
    <t>BI16143</t>
  </si>
  <si>
    <t>BI16112</t>
  </si>
  <si>
    <t>BI16108</t>
  </si>
  <si>
    <t>BI15995</t>
  </si>
  <si>
    <t>BI15951</t>
  </si>
  <si>
    <t>BI15898</t>
  </si>
  <si>
    <t>BI15880</t>
  </si>
  <si>
    <t>Malware</t>
  </si>
  <si>
    <t>BI15786</t>
  </si>
  <si>
    <t>BI15767</t>
  </si>
  <si>
    <t>Failure to redact</t>
  </si>
  <si>
    <t>BI15643</t>
  </si>
  <si>
    <t>BI15564</t>
  </si>
  <si>
    <t>BI15546</t>
  </si>
  <si>
    <t>BI15529</t>
  </si>
  <si>
    <t>BI15508</t>
  </si>
  <si>
    <t>BI15435</t>
  </si>
  <si>
    <t>BI15420</t>
  </si>
  <si>
    <t>BI15277</t>
  </si>
  <si>
    <t>BI15276</t>
  </si>
  <si>
    <t>BI15227</t>
  </si>
  <si>
    <t>BI15213</t>
  </si>
  <si>
    <t>BI15190</t>
  </si>
  <si>
    <t>BI15146</t>
  </si>
  <si>
    <t>BI14409</t>
  </si>
  <si>
    <t>BI14380</t>
  </si>
  <si>
    <t>BI14350</t>
  </si>
  <si>
    <t>BI14271</t>
  </si>
  <si>
    <t>BI14155</t>
  </si>
  <si>
    <t>BI14136</t>
  </si>
  <si>
    <t>BI14068</t>
  </si>
  <si>
    <t>BI13921</t>
  </si>
  <si>
    <t>BI13901</t>
  </si>
  <si>
    <t>BI19910</t>
  </si>
  <si>
    <t>BI19908</t>
  </si>
  <si>
    <t>BI19824</t>
  </si>
  <si>
    <t>BI19352</t>
  </si>
  <si>
    <t>BI19185</t>
  </si>
  <si>
    <t>BI19033</t>
  </si>
  <si>
    <t>BI19005</t>
  </si>
  <si>
    <t>BI18994</t>
  </si>
  <si>
    <t>BI18986</t>
  </si>
  <si>
    <t>BI18923</t>
  </si>
  <si>
    <t>BI18907</t>
  </si>
  <si>
    <t>BI18882</t>
  </si>
  <si>
    <t>BI18494</t>
  </si>
  <si>
    <t>BI18485</t>
  </si>
  <si>
    <t>BI18449</t>
  </si>
  <si>
    <t>BI18256</t>
  </si>
  <si>
    <t>BI18237</t>
  </si>
  <si>
    <t>BI18006</t>
  </si>
  <si>
    <t>BI17967</t>
  </si>
  <si>
    <t>BI17964</t>
  </si>
  <si>
    <t>BI17954</t>
  </si>
  <si>
    <t>BI17953</t>
  </si>
  <si>
    <t>BI17952</t>
  </si>
  <si>
    <t>BI17948</t>
  </si>
  <si>
    <t>BI17944</t>
  </si>
  <si>
    <t>BI17939</t>
  </si>
  <si>
    <t>BI17937</t>
  </si>
  <si>
    <t>BI17935</t>
  </si>
  <si>
    <t>BI17933</t>
  </si>
  <si>
    <t>BI17932</t>
  </si>
  <si>
    <t>Not Provided</t>
  </si>
  <si>
    <t>BI17931</t>
  </si>
  <si>
    <t>BI17930</t>
  </si>
  <si>
    <t>BI17929</t>
  </si>
  <si>
    <t>BI17927</t>
  </si>
  <si>
    <t>BI17926</t>
  </si>
  <si>
    <t>BI17922</t>
  </si>
  <si>
    <t>BI17920</t>
  </si>
  <si>
    <t>BI17919</t>
  </si>
  <si>
    <t>BI17918</t>
  </si>
  <si>
    <t>BI17917</t>
  </si>
  <si>
    <t>BI17916</t>
  </si>
  <si>
    <t>BI17914</t>
  </si>
  <si>
    <t>BI17910</t>
  </si>
  <si>
    <t>BI17908</t>
  </si>
  <si>
    <t>BI17906</t>
  </si>
  <si>
    <t>BI17902</t>
  </si>
  <si>
    <t>BI17899</t>
  </si>
  <si>
    <t>BI17896</t>
  </si>
  <si>
    <t>BI17895</t>
  </si>
  <si>
    <t>BI17893</t>
  </si>
  <si>
    <t>BI17892</t>
  </si>
  <si>
    <t>BI17889</t>
  </si>
  <si>
    <t>BI17888</t>
  </si>
  <si>
    <t>BI17887</t>
  </si>
  <si>
    <t>BI17885</t>
  </si>
  <si>
    <t>BI17884</t>
  </si>
  <si>
    <t>BI17883</t>
  </si>
  <si>
    <t>BI17882</t>
  </si>
  <si>
    <t>BI17881</t>
  </si>
  <si>
    <t>BI17880</t>
  </si>
  <si>
    <t>BI17879</t>
  </si>
  <si>
    <t>BI17877</t>
  </si>
  <si>
    <t>BI17874</t>
  </si>
  <si>
    <t>BI17873</t>
  </si>
  <si>
    <t>BI17872</t>
  </si>
  <si>
    <t>BI17871</t>
  </si>
  <si>
    <t>BI17869</t>
  </si>
  <si>
    <t>BI17863</t>
  </si>
  <si>
    <t>BI17862</t>
  </si>
  <si>
    <t>BI17861</t>
  </si>
  <si>
    <t>BI17859</t>
  </si>
  <si>
    <t>BI17858</t>
  </si>
  <si>
    <t>BI17857</t>
  </si>
  <si>
    <t>BI17855</t>
  </si>
  <si>
    <t>BI17854</t>
  </si>
  <si>
    <t>BI17852</t>
  </si>
  <si>
    <t>BI17851</t>
  </si>
  <si>
    <t>BI17850</t>
  </si>
  <si>
    <t>BI17849</t>
  </si>
  <si>
    <t>BI17848</t>
  </si>
  <si>
    <t>BI17847</t>
  </si>
  <si>
    <t>BI17846</t>
  </si>
  <si>
    <t>BI17845</t>
  </si>
  <si>
    <t>BI17844</t>
  </si>
  <si>
    <t>BI17843</t>
  </si>
  <si>
    <t>BI17840</t>
  </si>
  <si>
    <t>BI17839</t>
  </si>
  <si>
    <t>BI17838</t>
  </si>
  <si>
    <t>BI17837</t>
  </si>
  <si>
    <t>BI17836</t>
  </si>
  <si>
    <t>BI17835</t>
  </si>
  <si>
    <t>BI17834</t>
  </si>
  <si>
    <t>BI17833</t>
  </si>
  <si>
    <t>BI17832</t>
  </si>
  <si>
    <t>BI17831</t>
  </si>
  <si>
    <t>BI17830</t>
  </si>
  <si>
    <t>BI17829</t>
  </si>
  <si>
    <t>BI17828</t>
  </si>
  <si>
    <t>BI17827</t>
  </si>
  <si>
    <t>BI17823</t>
  </si>
  <si>
    <t>BI17821</t>
  </si>
  <si>
    <t>BI17819</t>
  </si>
  <si>
    <t>BI17817</t>
  </si>
  <si>
    <t>BI17816</t>
  </si>
  <si>
    <t>BI17815</t>
  </si>
  <si>
    <t>BI17814</t>
  </si>
  <si>
    <t>BI17812</t>
  </si>
  <si>
    <t>BI17807</t>
  </si>
  <si>
    <t>BI17806</t>
  </si>
  <si>
    <t>BI17804</t>
  </si>
  <si>
    <t>BI17803</t>
  </si>
  <si>
    <t>BI17800</t>
  </si>
  <si>
    <t>BI17799</t>
  </si>
  <si>
    <t>BI17798</t>
  </si>
  <si>
    <t>BI17796</t>
  </si>
  <si>
    <t>BI17788</t>
  </si>
  <si>
    <t>BI17782</t>
  </si>
  <si>
    <t>BI17779</t>
  </si>
  <si>
    <t>BI17778</t>
  </si>
  <si>
    <t>BI17777</t>
  </si>
  <si>
    <t>BI17776</t>
  </si>
  <si>
    <t>BI17774</t>
  </si>
  <si>
    <t>BI17773</t>
  </si>
  <si>
    <t>BI17772</t>
  </si>
  <si>
    <t>BI17771</t>
  </si>
  <si>
    <t>BI17751</t>
  </si>
  <si>
    <t>BI17148</t>
  </si>
  <si>
    <t>BI17096</t>
  </si>
  <si>
    <t>BI17020</t>
  </si>
  <si>
    <t>BI23118</t>
  </si>
  <si>
    <t>BI23018</t>
  </si>
  <si>
    <t>BI22918</t>
  </si>
  <si>
    <t>BI22758</t>
  </si>
  <si>
    <t>BI22521</t>
  </si>
  <si>
    <t>BI22402</t>
  </si>
  <si>
    <t>BI22397</t>
  </si>
  <si>
    <t>BI22267</t>
  </si>
  <si>
    <t>BI22115</t>
  </si>
  <si>
    <t>BI22007</t>
  </si>
  <si>
    <t>BI21874</t>
  </si>
  <si>
    <t>BI21782</t>
  </si>
  <si>
    <t>BI21587</t>
  </si>
  <si>
    <t>BI21385</t>
  </si>
  <si>
    <t>BI21377</t>
  </si>
  <si>
    <t>BI21175</t>
  </si>
  <si>
    <t>BI20831</t>
  </si>
  <si>
    <t>BI20820</t>
  </si>
  <si>
    <t>BI20706</t>
  </si>
  <si>
    <t>BI20665</t>
  </si>
  <si>
    <t>BI20400</t>
  </si>
  <si>
    <t>BI20291</t>
  </si>
  <si>
    <t>BI20138</t>
  </si>
  <si>
    <t>BI20123</t>
  </si>
  <si>
    <t>BI20121</t>
  </si>
  <si>
    <t>BI896</t>
  </si>
  <si>
    <t>BI894</t>
  </si>
  <si>
    <t>BI840</t>
  </si>
  <si>
    <t>BI786</t>
  </si>
  <si>
    <t>BI780</t>
  </si>
  <si>
    <t>BI646</t>
  </si>
  <si>
    <t>BI566</t>
  </si>
  <si>
    <t>BI521</t>
  </si>
  <si>
    <t>BI422</t>
  </si>
  <si>
    <t>BI2492</t>
  </si>
  <si>
    <t>BI2479</t>
  </si>
  <si>
    <t>BI2455</t>
  </si>
  <si>
    <t>BI235</t>
  </si>
  <si>
    <t>BI232</t>
  </si>
  <si>
    <t>BI2152</t>
  </si>
  <si>
    <t>BI2005</t>
  </si>
  <si>
    <t>BI1826</t>
  </si>
  <si>
    <t>BI1776</t>
  </si>
  <si>
    <t>BI1573</t>
  </si>
  <si>
    <t>BI1085</t>
  </si>
  <si>
    <t>BI1072</t>
  </si>
  <si>
    <t>BI5095</t>
  </si>
  <si>
    <t>BI5081</t>
  </si>
  <si>
    <t>BI4905</t>
  </si>
  <si>
    <t>BI4901</t>
  </si>
  <si>
    <t>BI4836</t>
  </si>
  <si>
    <t>BI4647</t>
  </si>
  <si>
    <t>BI4604</t>
  </si>
  <si>
    <t>BI4582</t>
  </si>
  <si>
    <t>BI4537</t>
  </si>
  <si>
    <t>BI4479</t>
  </si>
  <si>
    <t>BI4244</t>
  </si>
  <si>
    <t>BI4083</t>
  </si>
  <si>
    <t>BI4082</t>
  </si>
  <si>
    <t>BI4026</t>
  </si>
  <si>
    <t>BI4025</t>
  </si>
  <si>
    <t>BI3978</t>
  </si>
  <si>
    <t>BI3956</t>
  </si>
  <si>
    <t>BI3949</t>
  </si>
  <si>
    <t>BI3948</t>
  </si>
  <si>
    <t>BI3884</t>
  </si>
  <si>
    <t>BI3814</t>
  </si>
  <si>
    <t>BI3622</t>
  </si>
  <si>
    <t>BI3399</t>
  </si>
  <si>
    <t>BI3354</t>
  </si>
  <si>
    <t>BI3345</t>
  </si>
  <si>
    <t>BI3340</t>
  </si>
  <si>
    <t>BI3332</t>
  </si>
  <si>
    <t>BI3326</t>
  </si>
  <si>
    <t>BI3325</t>
  </si>
  <si>
    <t>BI3321</t>
  </si>
  <si>
    <t>BI3306</t>
  </si>
  <si>
    <t>BI3301</t>
  </si>
  <si>
    <t>BI3059</t>
  </si>
  <si>
    <t>BI2892</t>
  </si>
  <si>
    <t>BI2527</t>
  </si>
  <si>
    <t>BI7739</t>
  </si>
  <si>
    <t>BI7577</t>
  </si>
  <si>
    <t>BI7419</t>
  </si>
  <si>
    <t>BI7295</t>
  </si>
  <si>
    <t>BI7106</t>
  </si>
  <si>
    <t>BI6979</t>
  </si>
  <si>
    <t>BI6674</t>
  </si>
  <si>
    <t>BI6642</t>
  </si>
  <si>
    <t>BI6475</t>
  </si>
  <si>
    <t>BI6329</t>
  </si>
  <si>
    <t>BI6312</t>
  </si>
  <si>
    <t>BI6129</t>
  </si>
  <si>
    <t>BI6103</t>
  </si>
  <si>
    <t>BI5913</t>
  </si>
  <si>
    <t>BI5906</t>
  </si>
  <si>
    <t>BI5830</t>
  </si>
  <si>
    <t>BI5808</t>
  </si>
  <si>
    <t>BI5805</t>
  </si>
  <si>
    <t>BI5725</t>
  </si>
  <si>
    <t>BI5689</t>
  </si>
  <si>
    <t>BI5624</t>
  </si>
  <si>
    <t>BI5518</t>
  </si>
  <si>
    <t>BI5395</t>
  </si>
  <si>
    <t>BI5353</t>
  </si>
  <si>
    <t>BI5314</t>
  </si>
  <si>
    <t>BI5161</t>
  </si>
  <si>
    <t>BI9931</t>
  </si>
  <si>
    <t>BI9829</t>
  </si>
  <si>
    <t>BI9784</t>
  </si>
  <si>
    <t>BI9404</t>
  </si>
  <si>
    <t>BI9368</t>
  </si>
  <si>
    <t>BI9359</t>
  </si>
  <si>
    <t>BI9212</t>
  </si>
  <si>
    <t>BI8921</t>
  </si>
  <si>
    <t>BI8872</t>
  </si>
  <si>
    <t>BI8852</t>
  </si>
  <si>
    <t>BI8781</t>
  </si>
  <si>
    <t>BI8746</t>
  </si>
  <si>
    <t>BI8721</t>
  </si>
  <si>
    <t>Data posted or faxed to incorrect recipient</t>
  </si>
  <si>
    <t>BI8329</t>
  </si>
  <si>
    <t>BI8246</t>
  </si>
  <si>
    <t>BI8232</t>
  </si>
  <si>
    <t>BI8225</t>
  </si>
  <si>
    <t>Data of wrong data subject shown in client portal</t>
  </si>
  <si>
    <t>BI8111</t>
  </si>
  <si>
    <t>BI8107</t>
  </si>
  <si>
    <t>Incorrect disposal of paperwork</t>
  </si>
  <si>
    <t>BI7991</t>
  </si>
  <si>
    <t>BI10222</t>
  </si>
  <si>
    <r>
      <rPr/>
      <t xml:space="preserve">Source: </t>
    </r>
    <r>
      <rPr>
        <color rgb="FF1155CC"/>
        <u/>
      </rPr>
      <t>https://ico.org.uk/action-weve-taken/data-security-incident-trends/</t>
    </r>
    <r>
      <rPr/>
      <t xml:space="preserve">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</si>
</sst>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mm d, yyyy"/>
    <numFmt numFmtId="165" formatCode="0.0"/>
    <numFmt numFmtId="166" formatCode="mmmm d, yyyy"/>
    <numFmt numFmtId="167" formatCode="mmmm yyyy"/>
    <numFmt numFmtId="168" formatCode="mm/dd/yyyy"/>
    <numFmt numFmtId="169" formatCode="m/d/yyyy"/>
  </numFmts>
  <fonts count="34">
    <font>
      <sz val="10.0"/>
      <color rgb="FF000000"/>
      <name val="Arial"/>
      <scheme val="minor"/>
    </font>
    <font>
      <b/>
      <color theme="1"/>
      <name val="Arial"/>
      <scheme val="minor"/>
    </font>
    <font>
      <color theme="1"/>
      <name val="Arial"/>
      <scheme val="minor"/>
    </font>
    <font>
      <u/>
      <color rgb="FF0000FF"/>
    </font>
    <font>
      <u/>
      <color rgb="FF0000FF"/>
    </font>
    <font>
      <b/>
      <sz val="11.0"/>
      <color rgb="FF1D1C1D"/>
      <name val="Slack-Lato"/>
    </font>
    <font>
      <sz val="11.0"/>
      <color rgb="FF1D1C1D"/>
      <name val="Arial"/>
    </font>
    <font>
      <b/>
      <i/>
      <u/>
      <sz val="11.0"/>
      <color rgb="FF0B5394"/>
      <name val="Slack-Lato"/>
    </font>
    <font>
      <b/>
      <u/>
      <sz val="15.0"/>
      <color rgb="FF0000FF"/>
      <name val="Arial"/>
    </font>
    <font/>
    <font>
      <b/>
      <color theme="1"/>
      <name val="Arial"/>
    </font>
    <font>
      <u/>
      <color rgb="FF1155CC"/>
      <name val="Arial"/>
    </font>
    <font>
      <color theme="1"/>
      <name val="Arial"/>
    </font>
    <font>
      <u/>
      <color rgb="FF0000FF"/>
    </font>
    <font>
      <sz val="11.0"/>
      <color theme="1"/>
      <name val="Aptos Display"/>
    </font>
    <font>
      <sz val="11.0"/>
      <color theme="1"/>
      <name val="Arial"/>
    </font>
    <font>
      <b/>
      <sz val="15.0"/>
      <color theme="1"/>
      <name val="Arial"/>
    </font>
    <font>
      <b/>
      <sz val="11.0"/>
      <color theme="1"/>
      <name val="Arial"/>
    </font>
    <font>
      <u/>
      <color rgb="FF1155CC"/>
      <name val="Arial"/>
    </font>
    <font>
      <u/>
      <color rgb="FF1155CC"/>
      <name val="Arial"/>
    </font>
    <font>
      <u/>
      <color rgb="FF0000FF"/>
    </font>
    <font>
      <b/>
      <u/>
      <sz val="15.0"/>
      <color rgb="FF0000FF"/>
      <name val="Arial"/>
    </font>
    <font>
      <u/>
      <sz val="11.0"/>
      <color rgb="FF1155CC"/>
      <name val="Aptos Narrow"/>
    </font>
    <font>
      <sz val="11.0"/>
      <color theme="1"/>
      <name val="Aptos Narrow"/>
    </font>
    <font>
      <u/>
      <sz val="11.0"/>
      <color rgb="FF0000FF"/>
      <name val="Arial"/>
    </font>
    <font>
      <u/>
      <sz val="11.0"/>
      <color rgb="FF1155CC"/>
      <name val="Arial"/>
    </font>
    <font>
      <color rgb="FF000000"/>
      <name val="Arial"/>
    </font>
    <font>
      <b/>
      <color rgb="FF000000"/>
      <name val="Arial"/>
    </font>
    <font>
      <i/>
      <color rgb="FF000000"/>
      <name val="Arial"/>
    </font>
    <font>
      <b/>
      <u/>
      <sz val="15.0"/>
      <color rgb="FF1155CC"/>
      <name val="Arial"/>
    </font>
    <font>
      <b/>
      <sz val="12.0"/>
      <color theme="1"/>
      <name val="Arial"/>
    </font>
    <font>
      <u/>
      <color rgb="FF1155CC"/>
      <name val="Arial"/>
    </font>
    <font>
      <u/>
      <color rgb="FF0000FF"/>
      <name val="Arial"/>
    </font>
    <font>
      <u/>
      <color rgb="FF0000FF"/>
    </font>
  </fonts>
  <fills count="7">
    <fill>
      <patternFill patternType="none"/>
    </fill>
    <fill>
      <patternFill patternType="lightGray"/>
    </fill>
    <fill>
      <patternFill patternType="solid">
        <fgColor rgb="FFEFEFEF"/>
        <bgColor rgb="FFEFEFEF"/>
      </patternFill>
    </fill>
    <fill>
      <patternFill patternType="solid">
        <fgColor rgb="FFFFFFFF"/>
        <bgColor rgb="FFFFFFFF"/>
      </patternFill>
    </fill>
    <fill>
      <patternFill patternType="solid">
        <fgColor rgb="FFF3F3F3"/>
        <bgColor rgb="FFF3F3F3"/>
      </patternFill>
    </fill>
    <fill>
      <patternFill patternType="solid">
        <fgColor rgb="FFF4CCCC"/>
        <bgColor rgb="FFF4CCCC"/>
      </patternFill>
    </fill>
    <fill>
      <patternFill patternType="solid">
        <fgColor rgb="FFCCCCCC"/>
        <bgColor rgb="FFCCCCCC"/>
      </patternFill>
    </fill>
  </fills>
  <borders count="16">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rder>
    <border>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bottom style="thin">
        <color rgb="FF000000"/>
      </bottom>
    </border>
  </borders>
  <cellStyleXfs count="1">
    <xf borderId="0" fillId="0" fontId="0" numFmtId="0" applyAlignment="1" applyFont="1"/>
  </cellStyleXfs>
  <cellXfs count="295">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shrinkToFit="0" wrapText="1"/>
    </xf>
    <xf borderId="2" fillId="0" fontId="2" numFmtId="164" xfId="0" applyAlignment="1" applyBorder="1" applyFont="1" applyNumberFormat="1">
      <alignment vertical="center"/>
    </xf>
    <xf borderId="2" fillId="0" fontId="2" numFmtId="0" xfId="0" applyAlignment="1" applyBorder="1" applyFont="1">
      <alignment shrinkToFit="0" vertical="center" wrapText="1"/>
    </xf>
    <xf borderId="2" fillId="0" fontId="3" numFmtId="0" xfId="0" applyAlignment="1" applyBorder="1" applyFont="1">
      <alignment vertical="center"/>
    </xf>
    <xf borderId="2" fillId="0" fontId="2" numFmtId="0" xfId="0" applyAlignment="1" applyBorder="1" applyFont="1">
      <alignment vertical="center"/>
    </xf>
    <xf borderId="0" fillId="0" fontId="2" numFmtId="164" xfId="0" applyAlignment="1" applyFont="1" applyNumberFormat="1">
      <alignment vertical="center"/>
    </xf>
    <xf borderId="0" fillId="0" fontId="2" numFmtId="164" xfId="0" applyFont="1" applyNumberFormat="1"/>
    <xf borderId="2" fillId="0" fontId="4" numFmtId="0" xfId="0" applyAlignment="1" applyBorder="1" applyFont="1">
      <alignment shrinkToFit="0" vertical="center" wrapText="1"/>
    </xf>
    <xf borderId="0" fillId="3" fontId="5" numFmtId="0" xfId="0" applyAlignment="1" applyFill="1" applyFont="1">
      <alignment horizontal="left" readingOrder="0" shrinkToFit="0" wrapText="1"/>
    </xf>
    <xf borderId="0" fillId="0" fontId="2" numFmtId="0" xfId="0" applyAlignment="1" applyFont="1">
      <alignment shrinkToFit="0" wrapText="1"/>
    </xf>
    <xf borderId="0" fillId="3" fontId="6" numFmtId="0" xfId="0" applyAlignment="1" applyFont="1">
      <alignment horizontal="left" readingOrder="0" shrinkToFit="0" wrapText="1"/>
    </xf>
    <xf borderId="0" fillId="3" fontId="7" numFmtId="0" xfId="0" applyAlignment="1" applyFont="1">
      <alignment horizontal="left" readingOrder="0" shrinkToFit="0" wrapText="1"/>
    </xf>
    <xf borderId="3" fillId="2" fontId="8" numFmtId="0" xfId="0" applyAlignment="1" applyBorder="1" applyFont="1">
      <alignment readingOrder="0" vertical="center"/>
    </xf>
    <xf borderId="4" fillId="0" fontId="9" numFmtId="0" xfId="0" applyBorder="1" applyFont="1"/>
    <xf borderId="5" fillId="0" fontId="9" numFmtId="0" xfId="0" applyBorder="1" applyFont="1"/>
    <xf borderId="3" fillId="2" fontId="10" numFmtId="0" xfId="0" applyAlignment="1" applyBorder="1" applyFont="1">
      <alignment horizontal="center" vertical="bottom"/>
    </xf>
    <xf borderId="4" fillId="2" fontId="10" numFmtId="0" xfId="0" applyAlignment="1" applyBorder="1" applyFont="1">
      <alignment horizontal="center" vertical="bottom"/>
    </xf>
    <xf borderId="5" fillId="2" fontId="10" numFmtId="0" xfId="0" applyAlignment="1" applyBorder="1" applyFont="1">
      <alignment horizontal="center" vertical="bottom"/>
    </xf>
    <xf borderId="4" fillId="2" fontId="10" numFmtId="0" xfId="0" applyAlignment="1" applyBorder="1" applyFont="1">
      <alignment horizontal="center" readingOrder="0" vertical="bottom"/>
    </xf>
    <xf borderId="1" fillId="2" fontId="10" numFmtId="0" xfId="0" applyAlignment="1" applyBorder="1" applyFont="1">
      <alignment shrinkToFit="0" vertical="bottom" wrapText="1"/>
    </xf>
    <xf borderId="1" fillId="4" fontId="10" numFmtId="0" xfId="0" applyAlignment="1" applyBorder="1" applyFill="1" applyFont="1">
      <alignment shrinkToFit="0" vertical="bottom" wrapText="1"/>
    </xf>
    <xf borderId="1" fillId="0" fontId="11" numFmtId="0" xfId="0" applyAlignment="1" applyBorder="1" applyFont="1">
      <alignment vertical="bottom"/>
    </xf>
    <xf borderId="1" fillId="0" fontId="12" numFmtId="0" xfId="0" applyAlignment="1" applyBorder="1" applyFont="1">
      <alignment vertical="bottom"/>
    </xf>
    <xf borderId="1" fillId="0" fontId="12" numFmtId="0" xfId="0" applyAlignment="1" applyBorder="1" applyFont="1">
      <alignment horizontal="right" vertical="bottom"/>
    </xf>
    <xf borderId="0" fillId="0" fontId="12" numFmtId="0" xfId="0" applyAlignment="1" applyFont="1">
      <alignment vertical="bottom"/>
    </xf>
    <xf borderId="0" fillId="0" fontId="10" numFmtId="0" xfId="0" applyAlignment="1" applyFont="1">
      <alignment vertical="bottom"/>
    </xf>
    <xf borderId="0" fillId="0" fontId="12" numFmtId="0" xfId="0" applyAlignment="1" applyFont="1">
      <alignment vertical="top"/>
    </xf>
    <xf borderId="0" fillId="5" fontId="12" numFmtId="0" xfId="0" applyAlignment="1" applyFill="1" applyFont="1">
      <alignment readingOrder="0" vertical="bottom"/>
    </xf>
    <xf borderId="0" fillId="5" fontId="10" numFmtId="0" xfId="0" applyAlignment="1" applyFont="1">
      <alignment readingOrder="0" vertical="bottom"/>
    </xf>
    <xf borderId="0" fillId="0" fontId="10" numFmtId="0" xfId="0" applyAlignment="1" applyFont="1">
      <alignment readingOrder="0" vertical="bottom"/>
    </xf>
    <xf borderId="6" fillId="2" fontId="10" numFmtId="0" xfId="0" applyAlignment="1" applyBorder="1" applyFont="1">
      <alignment shrinkToFit="0" vertical="bottom" wrapText="1"/>
    </xf>
    <xf borderId="6" fillId="2" fontId="10" numFmtId="0" xfId="0" applyAlignment="1" applyBorder="1" applyFont="1">
      <alignment shrinkToFit="0" vertical="bottom" wrapText="1"/>
    </xf>
    <xf borderId="6" fillId="2" fontId="10" numFmtId="0" xfId="0" applyAlignment="1" applyBorder="1" applyFont="1">
      <alignment readingOrder="0" shrinkToFit="0" vertical="bottom" wrapText="1"/>
    </xf>
    <xf borderId="1" fillId="2" fontId="10" numFmtId="0" xfId="0" applyAlignment="1" applyBorder="1" applyFont="1">
      <alignment horizontal="center" vertical="bottom"/>
    </xf>
    <xf borderId="7" fillId="0" fontId="9" numFmtId="0" xfId="0" applyBorder="1" applyFont="1"/>
    <xf borderId="1" fillId="2" fontId="10" numFmtId="0" xfId="0" applyAlignment="1" applyBorder="1" applyFont="1">
      <alignment readingOrder="0" shrinkToFit="0" vertical="bottom" wrapText="1"/>
    </xf>
    <xf borderId="0" fillId="0" fontId="13" numFmtId="0" xfId="0" applyAlignment="1" applyFont="1">
      <alignment readingOrder="0"/>
    </xf>
    <xf borderId="0" fillId="0" fontId="2" numFmtId="0" xfId="0" applyAlignment="1" applyFont="1">
      <alignment readingOrder="0"/>
    </xf>
    <xf borderId="8" fillId="0" fontId="2" numFmtId="0" xfId="0" applyBorder="1" applyFont="1"/>
    <xf borderId="0" fillId="0" fontId="1" numFmtId="0" xfId="0" applyAlignment="1" applyFont="1">
      <alignment readingOrder="0"/>
    </xf>
    <xf borderId="8" fillId="0" fontId="2" numFmtId="0" xfId="0" applyAlignment="1" applyBorder="1" applyFont="1">
      <alignment readingOrder="0"/>
    </xf>
    <xf borderId="3" fillId="2" fontId="10" numFmtId="165" xfId="0" applyAlignment="1" applyBorder="1" applyFont="1" applyNumberFormat="1">
      <alignment horizontal="left" readingOrder="0" shrinkToFit="0" vertical="bottom" wrapText="1"/>
    </xf>
    <xf borderId="1" fillId="2" fontId="10" numFmtId="165" xfId="0" applyAlignment="1" applyBorder="1" applyFont="1" applyNumberFormat="1">
      <alignment shrinkToFit="0" vertical="bottom" wrapText="1"/>
    </xf>
    <xf borderId="3" fillId="2" fontId="10" numFmtId="165" xfId="0" applyAlignment="1" applyBorder="1" applyFont="1" applyNumberFormat="1">
      <alignment shrinkToFit="0" vertical="bottom" wrapText="1"/>
    </xf>
    <xf borderId="1" fillId="2" fontId="10" numFmtId="165" xfId="0" applyAlignment="1" applyBorder="1" applyFont="1" applyNumberFormat="1">
      <alignment readingOrder="0" shrinkToFit="0" vertical="bottom" wrapText="1"/>
    </xf>
    <xf borderId="1" fillId="2" fontId="10" numFmtId="165" xfId="0" applyAlignment="1" applyBorder="1" applyFont="1" applyNumberFormat="1">
      <alignment horizontal="left" readingOrder="0" shrinkToFit="0" vertical="bottom" wrapText="1"/>
    </xf>
    <xf borderId="9" fillId="0" fontId="2" numFmtId="0" xfId="0" applyAlignment="1" applyBorder="1" applyFont="1">
      <alignment readingOrder="0"/>
    </xf>
    <xf borderId="10" fillId="0" fontId="2" numFmtId="0" xfId="0" applyAlignment="1" applyBorder="1" applyFont="1">
      <alignment horizontal="left" readingOrder="0"/>
    </xf>
    <xf borderId="11" fillId="0" fontId="2" numFmtId="0" xfId="0" applyAlignment="1" applyBorder="1" applyFont="1">
      <alignment readingOrder="0"/>
    </xf>
    <xf borderId="12" fillId="0" fontId="2" numFmtId="0" xfId="0" applyAlignment="1" applyBorder="1" applyFont="1">
      <alignment readingOrder="0"/>
    </xf>
    <xf borderId="8" fillId="0" fontId="2" numFmtId="0" xfId="0" applyAlignment="1" applyBorder="1" applyFont="1">
      <alignment horizontal="left" readingOrder="0"/>
    </xf>
    <xf borderId="13" fillId="0" fontId="2" numFmtId="0" xfId="0" applyAlignment="1" applyBorder="1" applyFont="1">
      <alignment readingOrder="0"/>
    </xf>
    <xf borderId="14" fillId="0" fontId="2" numFmtId="0" xfId="0" applyAlignment="1" applyBorder="1" applyFont="1">
      <alignment readingOrder="0"/>
    </xf>
    <xf borderId="13" fillId="0" fontId="2" numFmtId="0" xfId="0" applyAlignment="1" applyBorder="1" applyFont="1">
      <alignment horizontal="left" readingOrder="0"/>
    </xf>
    <xf borderId="15" fillId="0" fontId="2" numFmtId="0" xfId="0" applyAlignment="1" applyBorder="1" applyFont="1">
      <alignment readingOrder="0"/>
    </xf>
    <xf borderId="0" fillId="0" fontId="2" numFmtId="0" xfId="0" applyAlignment="1" applyFont="1">
      <alignment readingOrder="0"/>
    </xf>
    <xf borderId="0" fillId="0" fontId="2" numFmtId="0" xfId="0" applyFont="1"/>
    <xf borderId="3" fillId="2" fontId="1" numFmtId="0" xfId="0" applyAlignment="1" applyBorder="1" applyFont="1">
      <alignment horizontal="center" readingOrder="0"/>
    </xf>
    <xf borderId="3" fillId="6" fontId="10" numFmtId="0" xfId="0" applyAlignment="1" applyBorder="1" applyFill="1" applyFont="1">
      <alignment readingOrder="0" shrinkToFit="0" vertical="bottom" wrapText="1"/>
    </xf>
    <xf borderId="4" fillId="6" fontId="10" numFmtId="0" xfId="0" applyAlignment="1" applyBorder="1" applyFont="1">
      <alignment horizontal="center" readingOrder="0" shrinkToFit="0" vertical="center" wrapText="1"/>
    </xf>
    <xf borderId="4" fillId="2" fontId="10" numFmtId="0" xfId="0" applyAlignment="1" applyBorder="1" applyFont="1">
      <alignment horizontal="center" readingOrder="0" shrinkToFit="0" vertical="center" wrapText="1"/>
    </xf>
    <xf borderId="4" fillId="2" fontId="10" numFmtId="1" xfId="0" applyAlignment="1" applyBorder="1" applyFont="1" applyNumberFormat="1">
      <alignment horizontal="center" readingOrder="0" shrinkToFit="0" vertical="center" wrapText="1"/>
    </xf>
    <xf borderId="4" fillId="2" fontId="1" numFmtId="0" xfId="0" applyAlignment="1" applyBorder="1" applyFont="1">
      <alignment horizontal="center" readingOrder="0" vertical="center"/>
    </xf>
    <xf borderId="4" fillId="6" fontId="1" numFmtId="0" xfId="0" applyAlignment="1" applyBorder="1" applyFont="1">
      <alignment horizontal="center" readingOrder="0" vertical="center"/>
    </xf>
    <xf borderId="5" fillId="6" fontId="1" numFmtId="0" xfId="0" applyAlignment="1" applyBorder="1" applyFont="1">
      <alignment horizontal="center" readingOrder="0" vertical="center"/>
    </xf>
    <xf borderId="8" fillId="0" fontId="14" numFmtId="0" xfId="0" applyAlignment="1" applyBorder="1" applyFont="1">
      <alignment readingOrder="0" vertical="bottom"/>
    </xf>
    <xf borderId="0" fillId="0" fontId="14" numFmtId="0" xfId="0" applyAlignment="1" applyFont="1">
      <alignment horizontal="center" readingOrder="0" vertical="center"/>
    </xf>
    <xf borderId="0" fillId="0" fontId="14" numFmtId="3" xfId="0" applyAlignment="1" applyFont="1" applyNumberFormat="1">
      <alignment horizontal="center" readingOrder="0" vertical="center"/>
    </xf>
    <xf borderId="0" fillId="0" fontId="15" numFmtId="3" xfId="0" applyAlignment="1" applyFont="1" applyNumberFormat="1">
      <alignment horizontal="center" readingOrder="0" vertical="center"/>
    </xf>
    <xf borderId="0" fillId="0" fontId="12" numFmtId="3" xfId="0" applyAlignment="1" applyFont="1" applyNumberFormat="1">
      <alignment horizontal="center" readingOrder="0" vertical="center"/>
    </xf>
    <xf borderId="0" fillId="0" fontId="2" numFmtId="3" xfId="0" applyAlignment="1" applyFont="1" applyNumberFormat="1">
      <alignment horizontal="center" readingOrder="0" vertical="center"/>
    </xf>
    <xf borderId="9" fillId="0" fontId="2" numFmtId="3" xfId="0" applyAlignment="1" applyBorder="1" applyFont="1" applyNumberFormat="1">
      <alignment horizontal="center" readingOrder="0" vertical="center"/>
    </xf>
    <xf borderId="0" fillId="3" fontId="12" numFmtId="3" xfId="0" applyAlignment="1" applyFont="1" applyNumberFormat="1">
      <alignment horizontal="center" readingOrder="0" vertical="center"/>
    </xf>
    <xf borderId="9" fillId="0" fontId="12" numFmtId="3" xfId="0" applyAlignment="1" applyBorder="1" applyFont="1" applyNumberFormat="1">
      <alignment horizontal="center" readingOrder="0" vertical="center"/>
    </xf>
    <xf borderId="0" fillId="0" fontId="12" numFmtId="0" xfId="0" applyAlignment="1" applyFont="1">
      <alignment horizontal="center" readingOrder="0" vertical="center"/>
    </xf>
    <xf borderId="13" fillId="0" fontId="14" numFmtId="0" xfId="0" applyAlignment="1" applyBorder="1" applyFont="1">
      <alignment readingOrder="0" vertical="bottom"/>
    </xf>
    <xf borderId="15" fillId="0" fontId="12" numFmtId="0" xfId="0" applyAlignment="1" applyBorder="1" applyFont="1">
      <alignment horizontal="center" readingOrder="0" vertical="center"/>
    </xf>
    <xf borderId="15" fillId="0" fontId="14" numFmtId="3" xfId="0" applyAlignment="1" applyBorder="1" applyFont="1" applyNumberFormat="1">
      <alignment horizontal="center" readingOrder="0" vertical="center"/>
    </xf>
    <xf borderId="15" fillId="0" fontId="15" numFmtId="3" xfId="0" applyAlignment="1" applyBorder="1" applyFont="1" applyNumberFormat="1">
      <alignment horizontal="center" readingOrder="0" vertical="center"/>
    </xf>
    <xf borderId="15" fillId="0" fontId="12" numFmtId="3" xfId="0" applyAlignment="1" applyBorder="1" applyFont="1" applyNumberFormat="1">
      <alignment horizontal="center" readingOrder="0" vertical="center"/>
    </xf>
    <xf borderId="15" fillId="0" fontId="2" numFmtId="3" xfId="0" applyAlignment="1" applyBorder="1" applyFont="1" applyNumberFormat="1">
      <alignment horizontal="center" readingOrder="0" vertical="center"/>
    </xf>
    <xf borderId="14" fillId="0" fontId="12" numFmtId="3" xfId="0" applyAlignment="1" applyBorder="1" applyFont="1" applyNumberFormat="1">
      <alignment horizontal="center" readingOrder="0" vertical="center"/>
    </xf>
    <xf borderId="0" fillId="2" fontId="16" numFmtId="0" xfId="0" applyAlignment="1" applyFont="1">
      <alignment readingOrder="0" vertical="center"/>
    </xf>
    <xf borderId="10" fillId="2" fontId="17" numFmtId="0" xfId="0" applyAlignment="1" applyBorder="1" applyFont="1">
      <alignment horizontal="center" shrinkToFit="0" wrapText="1"/>
    </xf>
    <xf borderId="11" fillId="2" fontId="17" numFmtId="0" xfId="0" applyAlignment="1" applyBorder="1" applyFont="1">
      <alignment horizontal="center" shrinkToFit="0" wrapText="1"/>
    </xf>
    <xf borderId="1" fillId="4" fontId="10" numFmtId="0" xfId="0" applyAlignment="1" applyBorder="1" applyFont="1">
      <alignment horizontal="center" shrinkToFit="0" vertical="bottom" wrapText="1"/>
    </xf>
    <xf borderId="0" fillId="4" fontId="12" numFmtId="0" xfId="0" applyAlignment="1" applyFont="1">
      <alignment vertical="bottom"/>
    </xf>
    <xf borderId="13" fillId="0" fontId="9" numFmtId="0" xfId="0" applyBorder="1" applyFont="1"/>
    <xf borderId="15" fillId="0" fontId="9" numFmtId="0" xfId="0" applyBorder="1" applyFont="1"/>
    <xf borderId="1" fillId="4" fontId="10" numFmtId="0" xfId="0" applyAlignment="1" applyBorder="1" applyFont="1">
      <alignment horizontal="center" shrinkToFit="0" wrapText="1"/>
    </xf>
    <xf borderId="8" fillId="0" fontId="18" numFmtId="0" xfId="0" applyAlignment="1" applyBorder="1" applyFont="1">
      <alignment vertical="bottom"/>
    </xf>
    <xf borderId="0" fillId="0" fontId="12" numFmtId="0" xfId="0" applyAlignment="1" applyFont="1">
      <alignment horizontal="center" vertical="bottom"/>
    </xf>
    <xf borderId="9" fillId="0" fontId="12" numFmtId="0" xfId="0" applyAlignment="1" applyBorder="1" applyFont="1">
      <alignment vertical="bottom"/>
    </xf>
    <xf borderId="9" fillId="0" fontId="12" numFmtId="0" xfId="0" applyAlignment="1" applyBorder="1" applyFont="1">
      <alignment horizontal="center" vertical="bottom"/>
    </xf>
    <xf borderId="13" fillId="0" fontId="19" numFmtId="0" xfId="0" applyAlignment="1" applyBorder="1" applyFont="1">
      <alignment vertical="bottom"/>
    </xf>
    <xf borderId="15" fillId="0" fontId="12" numFmtId="0" xfId="0" applyAlignment="1" applyBorder="1" applyFont="1">
      <alignment vertical="bottom"/>
    </xf>
    <xf borderId="15" fillId="0" fontId="12" numFmtId="0" xfId="0" applyAlignment="1" applyBorder="1" applyFont="1">
      <alignment horizontal="center" vertical="bottom"/>
    </xf>
    <xf borderId="14" fillId="0" fontId="12" numFmtId="0" xfId="0" applyAlignment="1" applyBorder="1" applyFont="1">
      <alignment vertical="bottom"/>
    </xf>
    <xf borderId="3" fillId="2" fontId="10" numFmtId="0" xfId="0" applyAlignment="1" applyBorder="1" applyFont="1">
      <alignment vertical="bottom"/>
    </xf>
    <xf borderId="4" fillId="2" fontId="10" numFmtId="0" xfId="0" applyAlignment="1" applyBorder="1" applyFont="1">
      <alignment vertical="bottom"/>
    </xf>
    <xf borderId="8" fillId="0" fontId="12" numFmtId="0" xfId="0" applyAlignment="1" applyBorder="1" applyFont="1">
      <alignment vertical="bottom"/>
    </xf>
    <xf borderId="8" fillId="2" fontId="10" numFmtId="0" xfId="0" applyAlignment="1" applyBorder="1" applyFont="1">
      <alignment vertical="bottom"/>
    </xf>
    <xf borderId="0" fillId="2" fontId="10" numFmtId="4" xfId="0" applyAlignment="1" applyFont="1" applyNumberFormat="1">
      <alignment horizontal="center" vertical="bottom"/>
    </xf>
    <xf borderId="0" fillId="2" fontId="10" numFmtId="0" xfId="0" applyAlignment="1" applyFont="1">
      <alignment horizontal="center" vertical="bottom"/>
    </xf>
    <xf borderId="9" fillId="2" fontId="10" numFmtId="0" xfId="0" applyAlignment="1" applyBorder="1" applyFont="1">
      <alignment horizontal="center" vertical="bottom"/>
    </xf>
    <xf borderId="4" fillId="2" fontId="10" numFmtId="10" xfId="0" applyAlignment="1" applyBorder="1" applyFont="1" applyNumberFormat="1">
      <alignment horizontal="center" vertical="bottom"/>
    </xf>
    <xf borderId="5" fillId="2" fontId="12" numFmtId="0" xfId="0" applyAlignment="1" applyBorder="1" applyFont="1">
      <alignment vertical="bottom"/>
    </xf>
    <xf borderId="13" fillId="2" fontId="1" numFmtId="0" xfId="0" applyAlignment="1" applyBorder="1" applyFont="1">
      <alignment readingOrder="0"/>
    </xf>
    <xf borderId="14" fillId="2" fontId="2" numFmtId="0" xfId="0" applyBorder="1" applyFont="1"/>
    <xf borderId="15" fillId="2" fontId="2" numFmtId="0" xfId="0" applyBorder="1" applyFont="1"/>
    <xf borderId="3" fillId="2" fontId="1" numFmtId="0" xfId="0" applyAlignment="1" applyBorder="1" applyFont="1">
      <alignment readingOrder="0"/>
    </xf>
    <xf borderId="4" fillId="2" fontId="2" numFmtId="0" xfId="0" applyBorder="1" applyFont="1"/>
    <xf borderId="5" fillId="2" fontId="2" numFmtId="0" xfId="0" applyBorder="1" applyFont="1"/>
    <xf borderId="5" fillId="2" fontId="1" numFmtId="0" xfId="0" applyBorder="1" applyFont="1"/>
    <xf borderId="1" fillId="2" fontId="1" numFmtId="0" xfId="0" applyAlignment="1" applyBorder="1" applyFont="1">
      <alignment readingOrder="0"/>
    </xf>
    <xf borderId="15" fillId="2" fontId="1" numFmtId="0" xfId="0" applyAlignment="1" applyBorder="1" applyFont="1">
      <alignment readingOrder="0"/>
    </xf>
    <xf borderId="14" fillId="2" fontId="1" numFmtId="0" xfId="0" applyAlignment="1" applyBorder="1" applyFont="1">
      <alignment readingOrder="0"/>
    </xf>
    <xf borderId="6" fillId="0" fontId="2" numFmtId="166" xfId="0" applyAlignment="1" applyBorder="1" applyFont="1" applyNumberFormat="1">
      <alignment readingOrder="0"/>
    </xf>
    <xf borderId="6" fillId="2" fontId="2" numFmtId="0" xfId="0" applyAlignment="1" applyBorder="1" applyFont="1">
      <alignment readingOrder="0"/>
    </xf>
    <xf borderId="6" fillId="2" fontId="2" numFmtId="0" xfId="0" applyAlignment="1" applyBorder="1" applyFont="1">
      <alignment horizontal="right" readingOrder="0"/>
    </xf>
    <xf borderId="9" fillId="0" fontId="2" numFmtId="165" xfId="0" applyBorder="1" applyFont="1" applyNumberFormat="1"/>
    <xf borderId="2" fillId="0" fontId="2" numFmtId="166" xfId="0" applyAlignment="1" applyBorder="1" applyFont="1" applyNumberFormat="1">
      <alignment readingOrder="0"/>
    </xf>
    <xf borderId="2" fillId="2" fontId="2" numFmtId="0" xfId="0" applyAlignment="1" applyBorder="1" applyFont="1">
      <alignment readingOrder="0"/>
    </xf>
    <xf borderId="7" fillId="2" fontId="2" numFmtId="0" xfId="0" applyAlignment="1" applyBorder="1" applyFont="1">
      <alignment readingOrder="0"/>
    </xf>
    <xf borderId="7" fillId="2" fontId="2" numFmtId="165" xfId="0" applyAlignment="1" applyBorder="1" applyFont="1" applyNumberFormat="1">
      <alignment readingOrder="0"/>
    </xf>
    <xf borderId="14" fillId="0" fontId="2" numFmtId="165" xfId="0" applyBorder="1" applyFont="1" applyNumberFormat="1"/>
    <xf borderId="7" fillId="0" fontId="2" numFmtId="166" xfId="0" applyAlignment="1" applyBorder="1" applyFont="1" applyNumberFormat="1">
      <alignment readingOrder="0"/>
    </xf>
    <xf borderId="4" fillId="2" fontId="1" numFmtId="0" xfId="0" applyAlignment="1" applyBorder="1" applyFont="1">
      <alignment readingOrder="0"/>
    </xf>
    <xf borderId="5" fillId="2" fontId="1" numFmtId="0" xfId="0" applyAlignment="1" applyBorder="1" applyFont="1">
      <alignment readingOrder="0"/>
    </xf>
    <xf borderId="0" fillId="0" fontId="2" numFmtId="0" xfId="0" applyAlignment="1" applyFont="1">
      <alignment readingOrder="0" shrinkToFit="0" wrapText="1"/>
    </xf>
    <xf borderId="0" fillId="0" fontId="12" numFmtId="0" xfId="0" applyAlignment="1" applyFont="1">
      <alignment shrinkToFit="0" vertical="bottom" wrapText="1"/>
    </xf>
    <xf borderId="4" fillId="2" fontId="1" numFmtId="0" xfId="0" applyBorder="1" applyFont="1"/>
    <xf borderId="10" fillId="0" fontId="2" numFmtId="0" xfId="0" applyAlignment="1" applyBorder="1" applyFont="1">
      <alignment readingOrder="0"/>
    </xf>
    <xf borderId="4" fillId="2" fontId="1" numFmtId="2" xfId="0" applyBorder="1" applyFont="1" applyNumberFormat="1"/>
    <xf borderId="5" fillId="2" fontId="1" numFmtId="2" xfId="0" applyBorder="1" applyFont="1" applyNumberFormat="1"/>
    <xf borderId="10" fillId="2" fontId="1" numFmtId="0" xfId="0" applyAlignment="1" applyBorder="1" applyFont="1">
      <alignment readingOrder="0"/>
    </xf>
    <xf borderId="11" fillId="2" fontId="1" numFmtId="0" xfId="0" applyAlignment="1" applyBorder="1" applyFont="1">
      <alignment readingOrder="0"/>
    </xf>
    <xf borderId="12" fillId="2" fontId="1" numFmtId="0" xfId="0" applyAlignment="1" applyBorder="1" applyFont="1">
      <alignment readingOrder="0"/>
    </xf>
    <xf borderId="3" fillId="0" fontId="2" numFmtId="0" xfId="0" applyAlignment="1" applyBorder="1" applyFont="1">
      <alignment readingOrder="0"/>
    </xf>
    <xf borderId="4" fillId="0" fontId="2" numFmtId="0" xfId="0" applyAlignment="1" applyBorder="1" applyFont="1">
      <alignment readingOrder="0"/>
    </xf>
    <xf borderId="5" fillId="0" fontId="2" numFmtId="0" xfId="0" applyAlignment="1" applyBorder="1" applyFont="1">
      <alignment readingOrder="0"/>
    </xf>
    <xf borderId="13" fillId="2" fontId="1" numFmtId="0" xfId="0" applyAlignment="1" applyBorder="1" applyFont="1">
      <alignment horizontal="right" readingOrder="0"/>
    </xf>
    <xf borderId="15" fillId="2" fontId="1" numFmtId="2" xfId="0" applyBorder="1" applyFont="1" applyNumberFormat="1"/>
    <xf borderId="14" fillId="2" fontId="1" numFmtId="2" xfId="0" applyBorder="1" applyFont="1" applyNumberFormat="1"/>
    <xf borderId="14" fillId="2" fontId="1" numFmtId="0" xfId="0" applyAlignment="1" applyBorder="1" applyFont="1">
      <alignment horizontal="left" readingOrder="0"/>
    </xf>
    <xf borderId="8" fillId="0" fontId="2" numFmtId="166" xfId="0" applyAlignment="1" applyBorder="1" applyFont="1" applyNumberFormat="1">
      <alignment readingOrder="0"/>
    </xf>
    <xf borderId="13" fillId="0" fontId="2" numFmtId="166" xfId="0" applyAlignment="1" applyBorder="1" applyFont="1" applyNumberFormat="1">
      <alignment readingOrder="0"/>
    </xf>
    <xf borderId="0" fillId="0" fontId="20" numFmtId="0" xfId="0" applyAlignment="1" applyFont="1">
      <alignment readingOrder="0"/>
    </xf>
    <xf borderId="3" fillId="2" fontId="21" numFmtId="0" xfId="0" applyAlignment="1" applyBorder="1" applyFont="1">
      <alignment readingOrder="0" vertical="bottom"/>
    </xf>
    <xf borderId="10" fillId="2" fontId="17" numFmtId="0" xfId="0" applyAlignment="1" applyBorder="1" applyFont="1">
      <alignment horizontal="center" shrinkToFit="0" vertical="bottom" wrapText="1"/>
    </xf>
    <xf borderId="11" fillId="2" fontId="17" numFmtId="0" xfId="0" applyAlignment="1" applyBorder="1" applyFont="1">
      <alignment horizontal="center" shrinkToFit="0" vertical="bottom" wrapText="1"/>
    </xf>
    <xf borderId="8" fillId="3" fontId="22" numFmtId="0" xfId="0" applyAlignment="1" applyBorder="1" applyFont="1">
      <alignment vertical="bottom"/>
    </xf>
    <xf borderId="0" fillId="0" fontId="15" numFmtId="0" xfId="0" applyAlignment="1" applyFont="1">
      <alignment vertical="bottom"/>
    </xf>
    <xf borderId="0" fillId="0" fontId="23" numFmtId="0" xfId="0" applyAlignment="1" applyFont="1">
      <alignment vertical="bottom"/>
    </xf>
    <xf borderId="0" fillId="0" fontId="12" numFmtId="165" xfId="0" applyAlignment="1" applyFont="1" applyNumberFormat="1">
      <alignment vertical="bottom"/>
    </xf>
    <xf borderId="0" fillId="0" fontId="12" numFmtId="2" xfId="0" applyAlignment="1" applyFont="1" applyNumberFormat="1">
      <alignment vertical="bottom"/>
    </xf>
    <xf borderId="0" fillId="0" fontId="12" numFmtId="4" xfId="0" applyAlignment="1" applyFont="1" applyNumberFormat="1">
      <alignment vertical="bottom"/>
    </xf>
    <xf borderId="0" fillId="0" fontId="12" numFmtId="9" xfId="0" applyAlignment="1" applyFont="1" applyNumberFormat="1">
      <alignment vertical="bottom"/>
    </xf>
    <xf borderId="0" fillId="0" fontId="12" numFmtId="2" xfId="0" applyAlignment="1" applyFont="1" applyNumberFormat="1">
      <alignment horizontal="center" vertical="bottom"/>
    </xf>
    <xf borderId="0" fillId="3" fontId="15" numFmtId="0" xfId="0" applyAlignment="1" applyFont="1">
      <alignment vertical="bottom"/>
    </xf>
    <xf borderId="0" fillId="3" fontId="23" numFmtId="0" xfId="0" applyAlignment="1" applyFont="1">
      <alignment vertical="bottom"/>
    </xf>
    <xf borderId="0" fillId="3" fontId="12" numFmtId="0" xfId="0" applyAlignment="1" applyFont="1">
      <alignment horizontal="center" vertical="bottom"/>
    </xf>
    <xf borderId="0" fillId="3" fontId="12" numFmtId="165" xfId="0" applyAlignment="1" applyFont="1" applyNumberFormat="1">
      <alignment vertical="bottom"/>
    </xf>
    <xf borderId="0" fillId="3" fontId="12" numFmtId="2" xfId="0" applyAlignment="1" applyFont="1" applyNumberFormat="1">
      <alignment vertical="bottom"/>
    </xf>
    <xf borderId="0" fillId="3" fontId="12" numFmtId="4" xfId="0" applyAlignment="1" applyFont="1" applyNumberFormat="1">
      <alignment vertical="bottom"/>
    </xf>
    <xf borderId="0" fillId="3" fontId="12" numFmtId="9" xfId="0" applyAlignment="1" applyFont="1" applyNumberFormat="1">
      <alignment vertical="bottom"/>
    </xf>
    <xf borderId="0" fillId="3" fontId="12" numFmtId="0" xfId="0" applyAlignment="1" applyFont="1">
      <alignment vertical="bottom"/>
    </xf>
    <xf borderId="9" fillId="3" fontId="12" numFmtId="0" xfId="0" applyAlignment="1" applyBorder="1" applyFont="1">
      <alignment horizontal="center" vertical="bottom"/>
    </xf>
    <xf borderId="0" fillId="0" fontId="24" numFmtId="0" xfId="0" applyAlignment="1" applyFont="1">
      <alignment vertical="bottom"/>
    </xf>
    <xf borderId="13" fillId="0" fontId="25" numFmtId="0" xfId="0" applyAlignment="1" applyBorder="1" applyFont="1">
      <alignment vertical="bottom"/>
    </xf>
    <xf borderId="15" fillId="0" fontId="15" numFmtId="0" xfId="0" applyAlignment="1" applyBorder="1" applyFont="1">
      <alignment vertical="bottom"/>
    </xf>
    <xf borderId="15" fillId="0" fontId="23" numFmtId="0" xfId="0" applyAlignment="1" applyBorder="1" applyFont="1">
      <alignment vertical="bottom"/>
    </xf>
    <xf borderId="15" fillId="0" fontId="12" numFmtId="165" xfId="0" applyAlignment="1" applyBorder="1" applyFont="1" applyNumberFormat="1">
      <alignment vertical="bottom"/>
    </xf>
    <xf borderId="15" fillId="0" fontId="12" numFmtId="9" xfId="0" applyAlignment="1" applyBorder="1" applyFont="1" applyNumberFormat="1">
      <alignment vertical="bottom"/>
    </xf>
    <xf borderId="14" fillId="0" fontId="12" numFmtId="0" xfId="0" applyAlignment="1" applyBorder="1" applyFont="1">
      <alignment horizontal="center" vertical="bottom"/>
    </xf>
    <xf borderId="0" fillId="0" fontId="12" numFmtId="10" xfId="0" applyAlignment="1" applyFont="1" applyNumberFormat="1">
      <alignment vertical="bottom"/>
    </xf>
    <xf borderId="0" fillId="0" fontId="12" numFmtId="3" xfId="0" applyAlignment="1" applyFont="1" applyNumberFormat="1">
      <alignment vertical="bottom"/>
    </xf>
    <xf borderId="10" fillId="4" fontId="10" numFmtId="0" xfId="0" applyAlignment="1" applyBorder="1" applyFont="1">
      <alignment horizontal="center" shrinkToFit="0" vertical="bottom" wrapText="1"/>
    </xf>
    <xf borderId="11" fillId="4" fontId="10" numFmtId="0" xfId="0" applyAlignment="1" applyBorder="1" applyFont="1">
      <alignment horizontal="center" shrinkToFit="0" vertical="bottom" wrapText="1"/>
    </xf>
    <xf borderId="12" fillId="4" fontId="10" numFmtId="0" xfId="0" applyAlignment="1" applyBorder="1" applyFont="1">
      <alignment horizontal="center" shrinkToFit="0" vertical="bottom" wrapText="1"/>
    </xf>
    <xf borderId="8" fillId="0" fontId="15" numFmtId="0" xfId="0" applyAlignment="1" applyBorder="1" applyFont="1">
      <alignment vertical="bottom"/>
    </xf>
    <xf borderId="0" fillId="0" fontId="15" numFmtId="0" xfId="0" applyAlignment="1" applyFont="1">
      <alignment horizontal="center" vertical="bottom"/>
    </xf>
    <xf borderId="8" fillId="3" fontId="15" numFmtId="0" xfId="0" applyAlignment="1" applyBorder="1" applyFont="1">
      <alignment vertical="bottom"/>
    </xf>
    <xf borderId="9" fillId="3" fontId="12" numFmtId="0" xfId="0" applyAlignment="1" applyBorder="1" applyFont="1">
      <alignment vertical="bottom"/>
    </xf>
    <xf borderId="13" fillId="0" fontId="15" numFmtId="0" xfId="0" applyAlignment="1" applyBorder="1" applyFont="1">
      <alignment vertical="bottom"/>
    </xf>
    <xf borderId="15" fillId="3" fontId="12" numFmtId="0" xfId="0" applyAlignment="1" applyBorder="1" applyFont="1">
      <alignment vertical="bottom"/>
    </xf>
    <xf borderId="15" fillId="3" fontId="12" numFmtId="0" xfId="0" applyAlignment="1" applyBorder="1" applyFont="1">
      <alignment horizontal="center" vertical="bottom"/>
    </xf>
    <xf borderId="14" fillId="3" fontId="12" numFmtId="0" xfId="0" applyAlignment="1" applyBorder="1" applyFont="1">
      <alignment vertical="bottom"/>
    </xf>
    <xf borderId="0" fillId="3" fontId="12" numFmtId="10" xfId="0" applyAlignment="1" applyFont="1" applyNumberFormat="1">
      <alignment vertical="bottom"/>
    </xf>
    <xf borderId="15" fillId="0" fontId="26" numFmtId="0" xfId="0" applyAlignment="1" applyBorder="1" applyFont="1">
      <alignment vertical="bottom"/>
    </xf>
    <xf borderId="0" fillId="0" fontId="26" numFmtId="0" xfId="0" applyAlignment="1" applyFont="1">
      <alignment vertical="bottom"/>
    </xf>
    <xf borderId="13" fillId="2" fontId="27" numFmtId="0" xfId="0" applyAlignment="1" applyBorder="1" applyFont="1">
      <alignment readingOrder="0" vertical="bottom"/>
    </xf>
    <xf borderId="14" fillId="0" fontId="9" numFmtId="0" xfId="0" applyBorder="1" applyFont="1"/>
    <xf borderId="9" fillId="0" fontId="26" numFmtId="0" xfId="0" applyAlignment="1" applyBorder="1" applyFont="1">
      <alignment vertical="bottom"/>
    </xf>
    <xf borderId="15" fillId="2" fontId="27" numFmtId="0" xfId="0" applyAlignment="1" applyBorder="1" applyFont="1">
      <alignment readingOrder="0" vertical="bottom"/>
    </xf>
    <xf borderId="13" fillId="2" fontId="27" numFmtId="0" xfId="0" applyAlignment="1" applyBorder="1" applyFont="1">
      <alignment horizontal="center" readingOrder="0" vertical="bottom"/>
    </xf>
    <xf borderId="15" fillId="2" fontId="27" numFmtId="0" xfId="0" applyAlignment="1" applyBorder="1" applyFont="1">
      <alignment horizontal="center" readingOrder="0" vertical="bottom"/>
    </xf>
    <xf borderId="14" fillId="2" fontId="27" numFmtId="0" xfId="0" applyAlignment="1" applyBorder="1" applyFont="1">
      <alignment horizontal="center" readingOrder="0" vertical="bottom"/>
    </xf>
    <xf borderId="15" fillId="0" fontId="27" numFmtId="0" xfId="0" applyAlignment="1" applyBorder="1" applyFont="1">
      <alignment horizontal="center" readingOrder="0" vertical="bottom"/>
    </xf>
    <xf borderId="14" fillId="0" fontId="27" numFmtId="167" xfId="0" applyAlignment="1" applyBorder="1" applyFont="1" applyNumberFormat="1">
      <alignment horizontal="center" readingOrder="0" vertical="bottom"/>
    </xf>
    <xf borderId="8" fillId="0" fontId="26" numFmtId="0" xfId="0" applyAlignment="1" applyBorder="1" applyFont="1">
      <alignment horizontal="center" readingOrder="0" vertical="bottom"/>
    </xf>
    <xf borderId="0" fillId="0" fontId="26" numFmtId="0" xfId="0" applyAlignment="1" applyFont="1">
      <alignment horizontal="center" readingOrder="0" vertical="bottom"/>
    </xf>
    <xf borderId="9" fillId="0" fontId="26" numFmtId="0" xfId="0" applyAlignment="1" applyBorder="1" applyFont="1">
      <alignment horizontal="center" readingOrder="0" vertical="bottom"/>
    </xf>
    <xf borderId="0" fillId="0" fontId="26" numFmtId="9" xfId="0" applyAlignment="1" applyFont="1" applyNumberFormat="1">
      <alignment horizontal="center" readingOrder="0" vertical="bottom"/>
    </xf>
    <xf borderId="9" fillId="0" fontId="26" numFmtId="9" xfId="0" applyAlignment="1" applyBorder="1" applyFont="1" applyNumberFormat="1">
      <alignment horizontal="center" readingOrder="0" vertical="bottom"/>
    </xf>
    <xf borderId="15" fillId="0" fontId="26" numFmtId="0" xfId="0" applyAlignment="1" applyBorder="1" applyFont="1">
      <alignment horizontal="center" readingOrder="0" vertical="bottom"/>
    </xf>
    <xf borderId="15" fillId="0" fontId="26" numFmtId="9" xfId="0" applyAlignment="1" applyBorder="1" applyFont="1" applyNumberFormat="1">
      <alignment horizontal="center" readingOrder="0" vertical="bottom"/>
    </xf>
    <xf borderId="14" fillId="0" fontId="26" numFmtId="9" xfId="0" applyAlignment="1" applyBorder="1" applyFont="1" applyNumberFormat="1">
      <alignment horizontal="center" readingOrder="0" vertical="bottom"/>
    </xf>
    <xf borderId="13" fillId="0" fontId="26" numFmtId="0" xfId="0" applyAlignment="1" applyBorder="1" applyFont="1">
      <alignment horizontal="center" readingOrder="0" vertical="bottom"/>
    </xf>
    <xf borderId="14" fillId="0" fontId="26" numFmtId="0" xfId="0" applyAlignment="1" applyBorder="1" applyFont="1">
      <alignment vertical="bottom"/>
    </xf>
    <xf borderId="13" fillId="0" fontId="28" numFmtId="0" xfId="0" applyAlignment="1" applyBorder="1" applyFont="1">
      <alignment horizontal="center" readingOrder="0" vertical="bottom"/>
    </xf>
    <xf borderId="0" fillId="0" fontId="26" numFmtId="0" xfId="0" applyAlignment="1" applyFont="1">
      <alignment readingOrder="0" shrinkToFit="0" vertical="bottom" wrapText="0"/>
    </xf>
    <xf borderId="10" fillId="2" fontId="29" numFmtId="0" xfId="0" applyAlignment="1" applyBorder="1" applyFont="1">
      <alignment vertical="bottom"/>
    </xf>
    <xf borderId="11" fillId="0" fontId="9" numFmtId="0" xfId="0" applyBorder="1" applyFont="1"/>
    <xf borderId="12" fillId="0" fontId="9" numFmtId="0" xfId="0" applyBorder="1" applyFont="1"/>
    <xf borderId="0" fillId="2" fontId="12" numFmtId="0" xfId="0" applyAlignment="1" applyFont="1">
      <alignment vertical="bottom"/>
    </xf>
    <xf borderId="3" fillId="2" fontId="30" numFmtId="0" xfId="0" applyAlignment="1" applyBorder="1" applyFont="1">
      <alignment horizontal="center" vertical="bottom"/>
    </xf>
    <xf borderId="0" fillId="3" fontId="30" numFmtId="0" xfId="0" applyAlignment="1" applyFont="1">
      <alignment horizontal="left" vertical="bottom"/>
    </xf>
    <xf borderId="0" fillId="0" fontId="31" numFmtId="0" xfId="0" applyAlignment="1" applyFont="1">
      <alignment vertical="bottom"/>
    </xf>
    <xf borderId="1" fillId="2" fontId="10" numFmtId="0" xfId="0" applyAlignment="1" applyBorder="1" applyFont="1">
      <alignment vertical="bottom"/>
    </xf>
    <xf borderId="5" fillId="2" fontId="10" numFmtId="0" xfId="0" applyAlignment="1" applyBorder="1" applyFont="1">
      <alignment vertical="bottom"/>
    </xf>
    <xf borderId="0" fillId="3" fontId="10" numFmtId="0" xfId="0" applyAlignment="1" applyFont="1">
      <alignment vertical="bottom"/>
    </xf>
    <xf borderId="6" fillId="3" fontId="12" numFmtId="0" xfId="0" applyAlignment="1" applyBorder="1" applyFont="1">
      <alignment vertical="bottom"/>
    </xf>
    <xf borderId="6" fillId="0" fontId="12" numFmtId="9" xfId="0" applyAlignment="1" applyBorder="1" applyFont="1" applyNumberFormat="1">
      <alignment horizontal="center" vertical="bottom"/>
    </xf>
    <xf borderId="2" fillId="3" fontId="12" numFmtId="0" xfId="0" applyAlignment="1" applyBorder="1" applyFont="1">
      <alignment vertical="bottom"/>
    </xf>
    <xf borderId="2" fillId="0" fontId="12" numFmtId="9" xfId="0" applyAlignment="1" applyBorder="1" applyFont="1" applyNumberFormat="1">
      <alignment horizontal="center" vertical="bottom"/>
    </xf>
    <xf borderId="2" fillId="3" fontId="12" numFmtId="9" xfId="0" applyAlignment="1" applyBorder="1" applyFont="1" applyNumberFormat="1">
      <alignment horizontal="center" vertical="bottom"/>
    </xf>
    <xf borderId="2" fillId="3" fontId="12" numFmtId="0" xfId="0" applyAlignment="1" applyBorder="1" applyFont="1">
      <alignment shrinkToFit="0" vertical="bottom" wrapText="1"/>
    </xf>
    <xf borderId="2" fillId="3" fontId="12" numFmtId="9" xfId="0" applyAlignment="1" applyBorder="1" applyFont="1" applyNumberFormat="1">
      <alignment horizontal="center" shrinkToFit="0" vertical="bottom" wrapText="1"/>
    </xf>
    <xf borderId="2" fillId="0" fontId="12" numFmtId="0" xfId="0" applyAlignment="1" applyBorder="1" applyFont="1">
      <alignment vertical="bottom"/>
    </xf>
    <xf borderId="1" fillId="2" fontId="10" numFmtId="9" xfId="0" applyAlignment="1" applyBorder="1" applyFont="1" applyNumberFormat="1">
      <alignment horizontal="center" vertical="bottom"/>
    </xf>
    <xf borderId="0" fillId="3" fontId="10" numFmtId="0" xfId="0" applyAlignment="1" applyFont="1">
      <alignment horizontal="center" vertical="bottom"/>
    </xf>
    <xf borderId="0" fillId="3" fontId="10" numFmtId="9" xfId="0" applyAlignment="1" applyFont="1" applyNumberFormat="1">
      <alignment horizontal="center" vertical="bottom"/>
    </xf>
    <xf borderId="3" fillId="2" fontId="30" numFmtId="0" xfId="0" applyAlignment="1" applyBorder="1" applyFont="1">
      <alignment vertical="bottom"/>
    </xf>
    <xf borderId="0" fillId="3" fontId="32" numFmtId="0" xfId="0" applyAlignment="1" applyFont="1">
      <alignment readingOrder="0" vertical="bottom"/>
    </xf>
    <xf borderId="11" fillId="3" fontId="12" numFmtId="1" xfId="0" applyAlignment="1" applyBorder="1" applyFont="1" applyNumberFormat="1">
      <alignment horizontal="center" vertical="bottom"/>
    </xf>
    <xf borderId="0" fillId="3" fontId="12" numFmtId="1" xfId="0" applyAlignment="1" applyFont="1" applyNumberFormat="1">
      <alignment horizontal="center" vertical="bottom"/>
    </xf>
    <xf borderId="9" fillId="0" fontId="9" numFmtId="0" xfId="0" applyBorder="1" applyFont="1"/>
    <xf borderId="0" fillId="3" fontId="12" numFmtId="9" xfId="0" applyAlignment="1" applyFont="1" applyNumberFormat="1">
      <alignment horizontal="center" vertical="bottom"/>
    </xf>
    <xf borderId="7" fillId="3" fontId="12" numFmtId="0" xfId="0" applyAlignment="1" applyBorder="1" applyFont="1">
      <alignment vertical="bottom"/>
    </xf>
    <xf borderId="15" fillId="3" fontId="12" numFmtId="9" xfId="0" applyAlignment="1" applyBorder="1" applyFont="1" applyNumberFormat="1">
      <alignment horizontal="center" vertical="bottom"/>
    </xf>
    <xf borderId="9" fillId="0" fontId="12" numFmtId="9" xfId="0" applyAlignment="1" applyBorder="1" applyFont="1" applyNumberFormat="1">
      <alignment horizontal="center" vertical="bottom"/>
    </xf>
    <xf borderId="13" fillId="0" fontId="12" numFmtId="0" xfId="0" applyAlignment="1" applyBorder="1" applyFont="1">
      <alignment vertical="bottom"/>
    </xf>
    <xf borderId="14" fillId="0" fontId="12" numFmtId="9" xfId="0" applyAlignment="1" applyBorder="1" applyFont="1" applyNumberFormat="1">
      <alignment horizontal="center" vertical="bottom"/>
    </xf>
    <xf borderId="0" fillId="2" fontId="12" numFmtId="2" xfId="0" applyAlignment="1" applyFont="1" applyNumberFormat="1">
      <alignment vertical="bottom"/>
    </xf>
    <xf borderId="0" fillId="0" fontId="12" numFmtId="166" xfId="0" applyAlignment="1" applyFont="1" applyNumberFormat="1">
      <alignment vertical="bottom"/>
    </xf>
    <xf borderId="0" fillId="0" fontId="2" numFmtId="0" xfId="0" applyAlignment="1" applyFont="1">
      <alignment readingOrder="0" shrinkToFit="0" vertical="center" wrapText="0"/>
    </xf>
    <xf borderId="0" fillId="0" fontId="2" numFmtId="0" xfId="0" applyAlignment="1" applyFont="1">
      <alignment shrinkToFit="0" vertical="center" wrapText="0"/>
    </xf>
    <xf borderId="0" fillId="0" fontId="1" numFmtId="0" xfId="0" applyAlignment="1" applyFont="1">
      <alignment readingOrder="0" shrinkToFit="0" vertical="center" wrapText="0"/>
    </xf>
    <xf borderId="0" fillId="5" fontId="2" numFmtId="0" xfId="0" applyAlignment="1" applyFont="1">
      <alignment readingOrder="0" shrinkToFit="0" vertical="center" wrapText="0"/>
    </xf>
    <xf borderId="3" fillId="2" fontId="1" numFmtId="0" xfId="0" applyAlignment="1" applyBorder="1" applyFont="1">
      <alignment readingOrder="0" shrinkToFit="0" vertical="center" wrapText="0"/>
    </xf>
    <xf borderId="4" fillId="2" fontId="1" numFmtId="0" xfId="0" applyAlignment="1" applyBorder="1" applyFont="1">
      <alignment readingOrder="0" shrinkToFit="0" vertical="center" wrapText="0"/>
    </xf>
    <xf borderId="5" fillId="2" fontId="1" numFmtId="0" xfId="0" applyAlignment="1" applyBorder="1" applyFont="1">
      <alignment readingOrder="0" shrinkToFit="0" vertical="center" wrapText="0"/>
    </xf>
    <xf borderId="8" fillId="0" fontId="2" numFmtId="0" xfId="0" applyAlignment="1" applyBorder="1" applyFont="1">
      <alignment readingOrder="0" shrinkToFit="0" vertical="center" wrapText="0"/>
    </xf>
    <xf borderId="0" fillId="0" fontId="2" numFmtId="168" xfId="0" applyAlignment="1" applyFont="1" applyNumberFormat="1">
      <alignment readingOrder="0" shrinkToFit="0" vertical="center" wrapText="0"/>
    </xf>
    <xf borderId="9" fillId="0" fontId="2" numFmtId="0" xfId="0" applyAlignment="1" applyBorder="1" applyFont="1">
      <alignment readingOrder="0" shrinkToFit="0" vertical="center" wrapText="0"/>
    </xf>
    <xf borderId="0" fillId="0" fontId="2" numFmtId="0" xfId="0" applyFont="1"/>
    <xf borderId="9" fillId="0" fontId="2" numFmtId="10" xfId="0" applyBorder="1" applyFont="1" applyNumberFormat="1"/>
    <xf borderId="5" fillId="2" fontId="1" numFmtId="10" xfId="0" applyBorder="1" applyFont="1" applyNumberFormat="1"/>
    <xf borderId="4" fillId="2" fontId="1" numFmtId="0" xfId="0" applyAlignment="1" applyBorder="1" applyFont="1">
      <alignment shrinkToFit="0" vertical="center" wrapText="0"/>
    </xf>
    <xf borderId="9" fillId="0" fontId="2" numFmtId="10" xfId="0" applyAlignment="1" applyBorder="1" applyFont="1" applyNumberFormat="1">
      <alignment shrinkToFit="0" vertical="center" wrapText="0"/>
    </xf>
    <xf borderId="5" fillId="2" fontId="1" numFmtId="10" xfId="0" applyAlignment="1" applyBorder="1" applyFont="1" applyNumberFormat="1">
      <alignment shrinkToFit="0" vertical="center" wrapText="0"/>
    </xf>
    <xf borderId="0" fillId="0" fontId="2" numFmtId="3" xfId="0" applyAlignment="1" applyFont="1" applyNumberFormat="1">
      <alignment readingOrder="0" shrinkToFit="0" vertical="center" wrapText="0"/>
    </xf>
    <xf borderId="4" fillId="2" fontId="1" numFmtId="3" xfId="0" applyAlignment="1" applyBorder="1" applyFont="1" applyNumberFormat="1">
      <alignment readingOrder="0" shrinkToFit="0" vertical="center" wrapText="0"/>
    </xf>
    <xf borderId="0" fillId="0" fontId="2" numFmtId="165" xfId="0" applyFont="1" applyNumberFormat="1"/>
    <xf borderId="3" fillId="0" fontId="2" numFmtId="0" xfId="0" applyAlignment="1" applyBorder="1" applyFont="1">
      <alignment readingOrder="0" shrinkToFit="0" vertical="center" wrapText="0"/>
    </xf>
    <xf borderId="4" fillId="0" fontId="2" numFmtId="0" xfId="0" applyAlignment="1" applyBorder="1" applyFont="1">
      <alignment shrinkToFit="0" vertical="center" wrapText="0"/>
    </xf>
    <xf borderId="5" fillId="0" fontId="2" numFmtId="165" xfId="0" applyBorder="1" applyFont="1" applyNumberFormat="1"/>
    <xf borderId="3" fillId="2" fontId="1" numFmtId="0" xfId="0" applyAlignment="1" applyBorder="1" applyFont="1">
      <alignment shrinkToFit="0" vertical="center" wrapText="0"/>
    </xf>
    <xf borderId="9" fillId="0" fontId="2" numFmtId="3" xfId="0" applyAlignment="1" applyBorder="1" applyFont="1" applyNumberFormat="1">
      <alignment readingOrder="0" shrinkToFit="0" vertical="center" wrapText="0"/>
    </xf>
    <xf borderId="9" fillId="0" fontId="2" numFmtId="3" xfId="0" applyAlignment="1" applyBorder="1" applyFont="1" applyNumberFormat="1">
      <alignment horizontal="right" readingOrder="0" shrinkToFit="0" vertical="center" wrapText="0"/>
    </xf>
    <xf borderId="0" fillId="0" fontId="2" numFmtId="3" xfId="0" applyAlignment="1" applyFont="1" applyNumberFormat="1">
      <alignment readingOrder="0"/>
    </xf>
    <xf borderId="9" fillId="0" fontId="2" numFmtId="0" xfId="0" applyAlignment="1" applyBorder="1" applyFont="1">
      <alignment horizontal="right" readingOrder="0" shrinkToFit="0" vertical="center" wrapText="0"/>
    </xf>
    <xf borderId="13" fillId="0" fontId="2" numFmtId="0" xfId="0" applyAlignment="1" applyBorder="1" applyFont="1">
      <alignment shrinkToFit="0" vertical="center" wrapText="0"/>
    </xf>
    <xf borderId="15" fillId="0" fontId="2" numFmtId="0" xfId="0" applyAlignment="1" applyBorder="1" applyFont="1">
      <alignment readingOrder="0" shrinkToFit="0" vertical="center" wrapText="0"/>
    </xf>
    <xf borderId="15" fillId="0" fontId="2" numFmtId="0" xfId="0" applyAlignment="1" applyBorder="1" applyFont="1">
      <alignment horizontal="right" readingOrder="0" shrinkToFit="0" vertical="center" wrapText="0"/>
    </xf>
    <xf borderId="15" fillId="0" fontId="2" numFmtId="0" xfId="0" applyAlignment="1" applyBorder="1" applyFont="1">
      <alignment shrinkToFit="0" vertical="center" wrapText="0"/>
    </xf>
    <xf borderId="15" fillId="0" fontId="2" numFmtId="3" xfId="0" applyAlignment="1" applyBorder="1" applyFont="1" applyNumberFormat="1">
      <alignment readingOrder="0" shrinkToFit="0" vertical="center" wrapText="0"/>
    </xf>
    <xf borderId="14" fillId="0" fontId="2" numFmtId="3" xfId="0" applyAlignment="1" applyBorder="1" applyFont="1" applyNumberFormat="1">
      <alignment horizontal="right" readingOrder="0" shrinkToFit="0" vertical="center" wrapText="0"/>
    </xf>
    <xf borderId="8" fillId="5" fontId="1" numFmtId="0" xfId="0" applyAlignment="1" applyBorder="1" applyFont="1">
      <alignment readingOrder="0" shrinkToFit="0" vertical="center" wrapText="0"/>
    </xf>
    <xf borderId="0" fillId="5" fontId="1" numFmtId="0" xfId="0" applyAlignment="1" applyFont="1">
      <alignment readingOrder="0" shrinkToFit="0" vertical="center" wrapText="0"/>
    </xf>
    <xf borderId="0" fillId="5" fontId="1" numFmtId="168" xfId="0" applyAlignment="1" applyFont="1" applyNumberFormat="1">
      <alignment readingOrder="0" shrinkToFit="0" vertical="center" wrapText="0"/>
    </xf>
    <xf borderId="0" fillId="5" fontId="1" numFmtId="0" xfId="0" applyAlignment="1" applyFont="1">
      <alignment shrinkToFit="0" vertical="center" wrapText="0"/>
    </xf>
    <xf borderId="9" fillId="5" fontId="1" numFmtId="0" xfId="0" applyAlignment="1" applyBorder="1" applyFont="1">
      <alignment readingOrder="0" shrinkToFit="0" vertical="center" wrapText="0"/>
    </xf>
    <xf borderId="0" fillId="0" fontId="2" numFmtId="1" xfId="0" applyFont="1" applyNumberFormat="1"/>
    <xf borderId="0" fillId="0" fontId="2" numFmtId="169" xfId="0" applyAlignment="1" applyFont="1" applyNumberFormat="1">
      <alignment readingOrder="0" shrinkToFit="0" vertical="center" wrapText="0"/>
    </xf>
    <xf borderId="13" fillId="0" fontId="2" numFmtId="0" xfId="0" applyAlignment="1" applyBorder="1" applyFont="1">
      <alignment readingOrder="0" shrinkToFit="0" vertical="center" wrapText="0"/>
    </xf>
    <xf borderId="15" fillId="0" fontId="2" numFmtId="168" xfId="0" applyAlignment="1" applyBorder="1" applyFont="1" applyNumberFormat="1">
      <alignment readingOrder="0" shrinkToFit="0" vertical="center" wrapText="0"/>
    </xf>
    <xf borderId="14" fillId="0" fontId="2" numFmtId="0" xfId="0" applyAlignment="1" applyBorder="1" applyFont="1">
      <alignment readingOrder="0" shrinkToFit="0" vertical="center" wrapText="0"/>
    </xf>
    <xf borderId="0" fillId="0" fontId="33" numFmtId="0" xfId="0" applyAlignment="1" applyFont="1">
      <alignment readingOrder="0" shrinkToFit="0" vertical="center" wrapText="0"/>
    </xf>
    <xf borderId="9" fillId="0" fontId="2" numFmtId="10" xfId="0" applyAlignment="1" applyBorder="1" applyFont="1" applyNumberFormat="1">
      <alignment readingOrder="0" shrinkToFit="0" vertical="center" wrapText="0"/>
    </xf>
    <xf borderId="5" fillId="2" fontId="1" numFmtId="10" xfId="0" applyAlignment="1" applyBorder="1" applyFont="1" applyNumberFormat="1">
      <alignment readingOrder="0" shrinkToFit="0" vertical="center" wrapText="0"/>
    </xf>
    <xf borderId="0" fillId="0" fontId="2" numFmtId="10" xfId="0" applyAlignment="1" applyFont="1" applyNumberFormat="1">
      <alignment shrinkToFit="0" vertical="center" wrapText="0"/>
    </xf>
  </cellXfs>
  <cellStyles count="1">
    <cellStyle xfId="0" name="Normal" builtinId="0"/>
  </cellStyles>
  <dxfs count="1">
    <dxf>
      <font/>
      <fill>
        <patternFill patternType="solid">
          <fgColor rgb="FFF4CCCC"/>
          <bgColor rgb="FFF4CCC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surfshark.com/research/chart/leaked-passwords" TargetMode="External"/><Relationship Id="rId42" Type="http://schemas.openxmlformats.org/officeDocument/2006/relationships/hyperlink" Target="https://surfshark.com/research/chart/internet-restrictions-african-elections" TargetMode="External"/><Relationship Id="rId41" Type="http://schemas.openxmlformats.org/officeDocument/2006/relationships/hyperlink" Target="https://docs.google.com/spreadsheets/d/12U4iQOYxf1l3qtvmrozU7f16TdUOnK7TQ29Hl9Oc_k8/edit?pli=1" TargetMode="External"/><Relationship Id="rId44" Type="http://schemas.openxmlformats.org/officeDocument/2006/relationships/hyperlink" Target="https://surfshark.com/research/chart/data-hungry-language-apps" TargetMode="External"/><Relationship Id="rId43" Type="http://schemas.openxmlformats.org/officeDocument/2006/relationships/hyperlink" Target="https://docs.google.com/spreadsheets/d/12U4iQOYxf1l3qtvmrozU7f16TdUOnK7TQ29Hl9Oc_k8/edit?pli=1" TargetMode="External"/><Relationship Id="rId46" Type="http://schemas.openxmlformats.org/officeDocument/2006/relationships/hyperlink" Target="https://surfshark.com/research/chart/top-delisted-webpages" TargetMode="External"/><Relationship Id="rId45" Type="http://schemas.openxmlformats.org/officeDocument/2006/relationships/hyperlink" Target="https://docs.google.com/spreadsheets/d/12U4iQOYxf1l3qtvmrozU7f16TdUOnK7TQ29Hl9Oc_k8/edit?pli=1" TargetMode="External"/><Relationship Id="rId107" Type="http://schemas.openxmlformats.org/officeDocument/2006/relationships/hyperlink" Target="https://surfshark.com/research/chart/cyber-attacks-france" TargetMode="External"/><Relationship Id="rId106" Type="http://schemas.openxmlformats.org/officeDocument/2006/relationships/hyperlink" Target="https://docs.google.com/spreadsheets/d/1JGIsLaBiwtSyKuCvlKg4i9R5wEfeMTxng0jAJSH4JUA/edit?gid=425029731" TargetMode="External"/><Relationship Id="rId105" Type="http://schemas.openxmlformats.org/officeDocument/2006/relationships/hyperlink" Target="https://surfshark.com/research/chart/security-camera-apps-privacy" TargetMode="External"/><Relationship Id="rId104" Type="http://schemas.openxmlformats.org/officeDocument/2006/relationships/hyperlink" Target="https://docs.google.com/spreadsheets/d/19f89fgKuIY8pl4GHUhqVOEz4F-DQqp2PJ11GA0X1uQY/edit?usp=sharing" TargetMode="External"/><Relationship Id="rId109" Type="http://schemas.openxmlformats.org/officeDocument/2006/relationships/hyperlink" Target="https://surfshark.com/research/chart/gdpr-fines-apps" TargetMode="External"/><Relationship Id="rId108" Type="http://schemas.openxmlformats.org/officeDocument/2006/relationships/hyperlink" Target="https://docs.google.com/spreadsheets/d/1JGIsLaBiwtSyKuCvlKg4i9R5wEfeMTxng0jAJSH4JUA/edit?gid=192376876" TargetMode="External"/><Relationship Id="rId48" Type="http://schemas.openxmlformats.org/officeDocument/2006/relationships/hyperlink" Target="https://surfshark.com/research/chart/global-e-infrastructure" TargetMode="External"/><Relationship Id="rId47" Type="http://schemas.openxmlformats.org/officeDocument/2006/relationships/hyperlink" Target="https://docs.google.com/spreadsheets/d/12U4iQOYxf1l3qtvmrozU7f16TdUOnK7TQ29Hl9Oc_k8/edit?pli=1" TargetMode="External"/><Relationship Id="rId49" Type="http://schemas.openxmlformats.org/officeDocument/2006/relationships/hyperlink" Target="https://docs.google.com/spreadsheets/d/1mnhKsjsaTdKuXlhLL7NaQbBKO4b-EqjukUa8Lt3EUK8/edit" TargetMode="External"/><Relationship Id="rId103" Type="http://schemas.openxmlformats.org/officeDocument/2006/relationships/hyperlink" Target="https://surfshark.com/research/chart/internet-shutdowns-first-half-2024" TargetMode="External"/><Relationship Id="rId102" Type="http://schemas.openxmlformats.org/officeDocument/2006/relationships/hyperlink" Target="https://docs.google.com/spreadsheets/d/1ylS2OWubnacaQyw-_28mSQCO1IxhxIQbPNGKAsA-WMs/edit" TargetMode="External"/><Relationship Id="rId101" Type="http://schemas.openxmlformats.org/officeDocument/2006/relationships/hyperlink" Target="https://surfshark.com/research/chart/election-related-ai-incidents" TargetMode="External"/><Relationship Id="rId100" Type="http://schemas.openxmlformats.org/officeDocument/2006/relationships/hyperlink" Target="https://docs.google.com/spreadsheets/d/1ylS2OWubnacaQyw-_28mSQCO1IxhxIQbPNGKAsA-WMs/edit" TargetMode="External"/><Relationship Id="rId31" Type="http://schemas.openxmlformats.org/officeDocument/2006/relationships/hyperlink" Target="https://surfshark.com/research/chart/internet-restrictions-apac" TargetMode="External"/><Relationship Id="rId30" Type="http://schemas.openxmlformats.org/officeDocument/2006/relationships/hyperlink" Target="https://docs.google.com/spreadsheets/d/12U4iQOYxf1l3qtvmrozU7f16TdUOnK7TQ29Hl9Oc_k8/edit?pli=1" TargetMode="External"/><Relationship Id="rId33" Type="http://schemas.openxmlformats.org/officeDocument/2006/relationships/hyperlink" Target="https://surfshark.com/research/chart/health-data-breaches" TargetMode="External"/><Relationship Id="rId32" Type="http://schemas.openxmlformats.org/officeDocument/2006/relationships/hyperlink" Target="https://docs.google.com/spreadsheets/d/12U4iQOYxf1l3qtvmrozU7f16TdUOnK7TQ29Hl9Oc_k8/edit?pli=1" TargetMode="External"/><Relationship Id="rId35" Type="http://schemas.openxmlformats.org/officeDocument/2006/relationships/hyperlink" Target="https://surfshark.com/research/chart/digital-footprints-via-apps" TargetMode="External"/><Relationship Id="rId34" Type="http://schemas.openxmlformats.org/officeDocument/2006/relationships/hyperlink" Target="https://docs.google.com/spreadsheets/d/12U4iQOYxf1l3qtvmrozU7f16TdUOnK7TQ29Hl9Oc_k8/edit?pli=1" TargetMode="External"/><Relationship Id="rId37" Type="http://schemas.openxmlformats.org/officeDocument/2006/relationships/hyperlink" Target="https://surfshark.com/research/chart/top-countries-dql" TargetMode="External"/><Relationship Id="rId36" Type="http://schemas.openxmlformats.org/officeDocument/2006/relationships/hyperlink" Target="https://docs.google.com/spreadsheets/d/12U4iQOYxf1l3qtvmrozU7f16TdUOnK7TQ29Hl9Oc_k8/edit?pli=1" TargetMode="External"/><Relationship Id="rId39" Type="http://schemas.openxmlformats.org/officeDocument/2006/relationships/hyperlink" Target="https://docs.google.com/spreadsheets/d/12U4iQOYxf1l3qtvmrozU7f16TdUOnK7TQ29Hl9Oc_k8/edit?pli=1" TargetMode="External"/><Relationship Id="rId38" Type="http://schemas.openxmlformats.org/officeDocument/2006/relationships/hyperlink" Target="https://surfshark.com/research/chart/duolingo-data-leak" TargetMode="External"/><Relationship Id="rId20" Type="http://schemas.openxmlformats.org/officeDocument/2006/relationships/hyperlink" Target="https://surfshark.com/research/chart/statistics-of-ai-incidents" TargetMode="External"/><Relationship Id="rId22" Type="http://schemas.openxmlformats.org/officeDocument/2006/relationships/hyperlink" Target="https://surfshark.com/research/chart/shark-awareness-day" TargetMode="External"/><Relationship Id="rId21" Type="http://schemas.openxmlformats.org/officeDocument/2006/relationships/hyperlink" Target="https://docs.google.com/spreadsheets/d/1vSaCCA27FFct_94sU3FjARkZDyII6BmIBFb0pqlvin0/edit" TargetMode="External"/><Relationship Id="rId24" Type="http://schemas.openxmlformats.org/officeDocument/2006/relationships/hyperlink" Target="https://surfshark.com/research/chart/shark-awareness-day" TargetMode="External"/><Relationship Id="rId23" Type="http://schemas.openxmlformats.org/officeDocument/2006/relationships/hyperlink" Target="https://docs.google.com/spreadsheets/d/12U4iQOYxf1l3qtvmrozU7f16TdUOnK7TQ29Hl9Oc_k8/edit" TargetMode="External"/><Relationship Id="rId129" Type="http://schemas.openxmlformats.org/officeDocument/2006/relationships/hyperlink" Target="https://surfshark.com/research/chart/phone-cleaner-apps" TargetMode="External"/><Relationship Id="rId128" Type="http://schemas.openxmlformats.org/officeDocument/2006/relationships/hyperlink" Target="https://docs.google.com/spreadsheets/d/1lXGt6A9gQSyh3R7-OlMm5nGAyLMu2H6LpuVsOAYm0dE/edit?gid=149202820" TargetMode="External"/><Relationship Id="rId127" Type="http://schemas.openxmlformats.org/officeDocument/2006/relationships/hyperlink" Target="https://surfshark.com/research/chart/oversharing-online" TargetMode="External"/><Relationship Id="rId126" Type="http://schemas.openxmlformats.org/officeDocument/2006/relationships/hyperlink" Target="https://docs.google.com/spreadsheets/d/1lXGt6A9gQSyh3R7-OlMm5nGAyLMu2H6LpuVsOAYm0dE/edit?gid=1529695293" TargetMode="External"/><Relationship Id="rId26" Type="http://schemas.openxmlformats.org/officeDocument/2006/relationships/hyperlink" Target="https://surfshark.com/research/chart/crypto-scam-losses-2021-vs-2022" TargetMode="External"/><Relationship Id="rId121" Type="http://schemas.openxmlformats.org/officeDocument/2006/relationships/hyperlink" Target="https://surfshark.com/research/chart/weight-control-apps-privacy" TargetMode="External"/><Relationship Id="rId25" Type="http://schemas.openxmlformats.org/officeDocument/2006/relationships/hyperlink" Target="https://docs.google.com/spreadsheets/d/12U4iQOYxf1l3qtvmrozU7f16TdUOnK7TQ29Hl9Oc_k8/edit" TargetMode="External"/><Relationship Id="rId120" Type="http://schemas.openxmlformats.org/officeDocument/2006/relationships/hyperlink" Target="https://docs.google.com/spreadsheets/d/1lXGt6A9gQSyh3R7-OlMm5nGAyLMu2H6LpuVsOAYm0dE/edit?gid=82614146" TargetMode="External"/><Relationship Id="rId28" Type="http://schemas.openxmlformats.org/officeDocument/2006/relationships/hyperlink" Target="https://surfshark.com/research/chart/threads-privacy-issues" TargetMode="External"/><Relationship Id="rId27" Type="http://schemas.openxmlformats.org/officeDocument/2006/relationships/hyperlink" Target="https://docs.google.com/spreadsheets/d/12U4iQOYxf1l3qtvmrozU7f16TdUOnK7TQ29Hl9Oc_k8/edit" TargetMode="External"/><Relationship Id="rId125" Type="http://schemas.openxmlformats.org/officeDocument/2006/relationships/hyperlink" Target="https://surfshark.com/research/chart/ai-chatbots-privacy" TargetMode="External"/><Relationship Id="rId29" Type="http://schemas.openxmlformats.org/officeDocument/2006/relationships/hyperlink" Target="https://surfshark.com/research/chart/tiktok-and-mental-health" TargetMode="External"/><Relationship Id="rId124" Type="http://schemas.openxmlformats.org/officeDocument/2006/relationships/hyperlink" Target="https://docs.google.com/spreadsheets/d/1lXGt6A9gQSyh3R7-OlMm5nGAyLMu2H6LpuVsOAYm0dE/edit?gid=82614146" TargetMode="External"/><Relationship Id="rId123" Type="http://schemas.openxmlformats.org/officeDocument/2006/relationships/hyperlink" Target="https://surfshark.com/research/chart/ai-companion-apps" TargetMode="External"/><Relationship Id="rId122" Type="http://schemas.openxmlformats.org/officeDocument/2006/relationships/hyperlink" Target="https://docs.google.com/spreadsheets/d/1lXGt6A9gQSyh3R7-OlMm5nGAyLMu2H6LpuVsOAYm0dE/edit?gid=82614146" TargetMode="External"/><Relationship Id="rId95" Type="http://schemas.openxmlformats.org/officeDocument/2006/relationships/hyperlink" Target="https://surfshark.com/research/chart/quantum-secure-messaging-apps" TargetMode="External"/><Relationship Id="rId94" Type="http://schemas.openxmlformats.org/officeDocument/2006/relationships/hyperlink" Target="https://docs.google.com/spreadsheets/d/1Lfs7fGsduihS31GynnR-6itRxnjhDIcU3EA2iaAlYnI/edit" TargetMode="External"/><Relationship Id="rId97" Type="http://schemas.openxmlformats.org/officeDocument/2006/relationships/hyperlink" Target="https://surfshark.com/research/chart/antivirus-statistics" TargetMode="External"/><Relationship Id="rId96" Type="http://schemas.openxmlformats.org/officeDocument/2006/relationships/hyperlink" Target="https://docs.google.com/spreadsheets/d/1Lfs7fGsduihS31GynnR-6itRxnjhDIcU3EA2iaAlYnI/edit" TargetMode="External"/><Relationship Id="rId11" Type="http://schemas.openxmlformats.org/officeDocument/2006/relationships/hyperlink" Target="https://docs.google.com/spreadsheets/d/1vSaCCA27FFct_94sU3FjARkZDyII6BmIBFb0pqlvin0/edit" TargetMode="External"/><Relationship Id="rId99" Type="http://schemas.openxmlformats.org/officeDocument/2006/relationships/hyperlink" Target="https://surfshark.com/research/chart/internet-usage-gap-in-people-with-disabilities-eu" TargetMode="External"/><Relationship Id="rId10" Type="http://schemas.openxmlformats.org/officeDocument/2006/relationships/hyperlink" Target="https://surfshark.com/research/chart/americans-attitudes-on-tiktok-ban" TargetMode="External"/><Relationship Id="rId98" Type="http://schemas.openxmlformats.org/officeDocument/2006/relationships/hyperlink" Target="https://docs.google.com/spreadsheets/d/1Lfs7fGsduihS31GynnR-6itRxnjhDIcU3EA2iaAlYnI/edit" TargetMode="External"/><Relationship Id="rId13" Type="http://schemas.openxmlformats.org/officeDocument/2006/relationships/hyperlink" Target="https://docs.google.com/spreadsheets/d/1vSaCCA27FFct_94sU3FjARkZDyII6BmIBFb0pqlvin0/edit" TargetMode="External"/><Relationship Id="rId12" Type="http://schemas.openxmlformats.org/officeDocument/2006/relationships/hyperlink" Target="https://surfshark.com/research/chart/cybersecurity-in-former-soviet-countries" TargetMode="External"/><Relationship Id="rId91" Type="http://schemas.openxmlformats.org/officeDocument/2006/relationships/hyperlink" Target="https://surfshark.com/research/chart/women-in-sci-tech-EU" TargetMode="External"/><Relationship Id="rId90" Type="http://schemas.openxmlformats.org/officeDocument/2006/relationships/hyperlink" Target="https://docs.google.com/spreadsheets/d/1Lfs7fGsduihS31GynnR-6itRxnjhDIcU3EA2iaAlYnI/edit" TargetMode="External"/><Relationship Id="rId93" Type="http://schemas.openxmlformats.org/officeDocument/2006/relationships/hyperlink" Target="https://surfshark.com/research/chart/south-korea-online-shopping" TargetMode="External"/><Relationship Id="rId92" Type="http://schemas.openxmlformats.org/officeDocument/2006/relationships/hyperlink" Target="https://docs.google.com/spreadsheets/d/1Lfs7fGsduihS31GynnR-6itRxnjhDIcU3EA2iaAlYnI/edit" TargetMode="External"/><Relationship Id="rId118" Type="http://schemas.openxmlformats.org/officeDocument/2006/relationships/hyperlink" Target="https://docs.google.com/spreadsheets/d/16igyISSNgOoqRvClPj3ETrTBoxjt6o-frkwfIGD0l5I/edit?gid=2146735867" TargetMode="External"/><Relationship Id="rId117" Type="http://schemas.openxmlformats.org/officeDocument/2006/relationships/hyperlink" Target="https://surfshark.com/research/chart/smart-bedroom-privacy" TargetMode="External"/><Relationship Id="rId116" Type="http://schemas.openxmlformats.org/officeDocument/2006/relationships/hyperlink" Target="https://docs.google.com/spreadsheets/d/16igyISSNgOoqRvClPj3ETrTBoxjt6o-frkwfIGD0l5I/edit?gid=479034733" TargetMode="External"/><Relationship Id="rId115" Type="http://schemas.openxmlformats.org/officeDocument/2006/relationships/hyperlink" Target="https://surfshark.com/research/chart/holiday-season-mobile-games" TargetMode="External"/><Relationship Id="rId119" Type="http://schemas.openxmlformats.org/officeDocument/2006/relationships/hyperlink" Target="https://surfshark.com/research/chart/fitness-apps-privacy" TargetMode="External"/><Relationship Id="rId15" Type="http://schemas.openxmlformats.org/officeDocument/2006/relationships/hyperlink" Target="https://docs.google.com/spreadsheets/d/1vSaCCA27FFct_94sU3FjARkZDyII6BmIBFb0pqlvin0/edit" TargetMode="External"/><Relationship Id="rId110" Type="http://schemas.openxmlformats.org/officeDocument/2006/relationships/hyperlink" Target="https://docs.google.com/spreadsheets/d/1JGIsLaBiwtSyKuCvlKg4i9R5wEfeMTxng0jAJSH4JUA/edit?gid=722487043" TargetMode="External"/><Relationship Id="rId14" Type="http://schemas.openxmlformats.org/officeDocument/2006/relationships/hyperlink" Target="https://surfshark.com/research/chart/us-cryptocurrency-scams" TargetMode="External"/><Relationship Id="rId17" Type="http://schemas.openxmlformats.org/officeDocument/2006/relationships/hyperlink" Target="https://docs.google.com/spreadsheets/d/1vSaCCA27FFct_94sU3FjARkZDyII6BmIBFb0pqlvin0/edit" TargetMode="External"/><Relationship Id="rId16" Type="http://schemas.openxmlformats.org/officeDocument/2006/relationships/hyperlink" Target="https://surfshark.com/research/chart/war-impact-on-data-breaches" TargetMode="External"/><Relationship Id="rId19" Type="http://schemas.openxmlformats.org/officeDocument/2006/relationships/hyperlink" Target="https://docs.google.com/spreadsheets/d/1vSaCCA27FFct_94sU3FjARkZDyII6BmIBFb0pqlvin0/edit" TargetMode="External"/><Relationship Id="rId114" Type="http://schemas.openxmlformats.org/officeDocument/2006/relationships/hyperlink" Target="https://docs.google.com/spreadsheets/d/16igyISSNgOoqRvClPj3ETrTBoxjt6o-frkwfIGD0l5I/edit?gid=1901285968" TargetMode="External"/><Relationship Id="rId18" Type="http://schemas.openxmlformats.org/officeDocument/2006/relationships/hyperlink" Target="https://surfshark.com/research/chart/views-on-tiktok-privacy" TargetMode="External"/><Relationship Id="rId113" Type="http://schemas.openxmlformats.org/officeDocument/2006/relationships/hyperlink" Target="https://surfshark.com/research/chart/breached-payment-cards" TargetMode="External"/><Relationship Id="rId112" Type="http://schemas.openxmlformats.org/officeDocument/2006/relationships/hyperlink" Target="https://docs.google.com/spreadsheets/d/16igyISSNgOoqRvClPj3ETrTBoxjt6o-frkwfIGD0l5I/edit?gid=192376876" TargetMode="External"/><Relationship Id="rId111" Type="http://schemas.openxmlformats.org/officeDocument/2006/relationships/hyperlink" Target="https://surfshark.com/research/chart/alaska-cybercrime-statistics" TargetMode="External"/><Relationship Id="rId84" Type="http://schemas.openxmlformats.org/officeDocument/2006/relationships/hyperlink" Target="https://docs.google.com/spreadsheets/d/1Lfs7fGsduihS31GynnR-6itRxnjhDIcU3EA2iaAlYnI/edit" TargetMode="External"/><Relationship Id="rId83" Type="http://schemas.openxmlformats.org/officeDocument/2006/relationships/hyperlink" Target="https://surfshark.com/research/chart/adult-toys" TargetMode="External"/><Relationship Id="rId86" Type="http://schemas.openxmlformats.org/officeDocument/2006/relationships/hyperlink" Target="https://docs.google.com/spreadsheets/d/1Lfs7fGsduihS31GynnR-6itRxnjhDIcU3EA2iaAlYnI/edit" TargetMode="External"/><Relationship Id="rId85" Type="http://schemas.openxmlformats.org/officeDocument/2006/relationships/hyperlink" Target="https://surfshark.com/research/chart/facebook-data-leak" TargetMode="External"/><Relationship Id="rId88" Type="http://schemas.openxmlformats.org/officeDocument/2006/relationships/hyperlink" Target="https://docs.google.com/spreadsheets/d/1Lfs7fGsduihS31GynnR-6itRxnjhDIcU3EA2iaAlYnI/edit" TargetMode="External"/><Relationship Id="rId87" Type="http://schemas.openxmlformats.org/officeDocument/2006/relationships/hyperlink" Target="https://surfshark.com/research/chart/job-scams" TargetMode="External"/><Relationship Id="rId89" Type="http://schemas.openxmlformats.org/officeDocument/2006/relationships/hyperlink" Target="https://surfshark.com/research/chart/crypto-scams-2023" TargetMode="External"/><Relationship Id="rId80" Type="http://schemas.openxmlformats.org/officeDocument/2006/relationships/hyperlink" Target="https://docs.google.com/spreadsheets/d/1Lfs7fGsduihS31GynnR-6itRxnjhDIcU3EA2iaAlYnI/edit" TargetMode="External"/><Relationship Id="rId82" Type="http://schemas.openxmlformats.org/officeDocument/2006/relationships/hyperlink" Target="https://docs.google.com/spreadsheets/d/1Lfs7fGsduihS31GynnR-6itRxnjhDIcU3EA2iaAlYnI/edit" TargetMode="External"/><Relationship Id="rId81" Type="http://schemas.openxmlformats.org/officeDocument/2006/relationships/hyperlink" Target="https://surfshark.com/research/chart/childrens-safety-online" TargetMode="External"/><Relationship Id="rId1" Type="http://schemas.openxmlformats.org/officeDocument/2006/relationships/hyperlink" Target="https://surfshark.com/research/chart/global-vpn-restrictions" TargetMode="External"/><Relationship Id="rId2" Type="http://schemas.openxmlformats.org/officeDocument/2006/relationships/hyperlink" Target="https://docs.google.com/spreadsheets/d/1vSaCCA27FFct_94sU3FjARkZDyII6BmIBFb0pqlvin0/edit" TargetMode="External"/><Relationship Id="rId3" Type="http://schemas.openxmlformats.org/officeDocument/2006/relationships/hyperlink" Target="https://surfshark.com/research/chart/messaging-app-restrictions" TargetMode="External"/><Relationship Id="rId4" Type="http://schemas.openxmlformats.org/officeDocument/2006/relationships/hyperlink" Target="https://docs.google.com/spreadsheets/d/1vSaCCA27FFct_94sU3FjARkZDyII6BmIBFb0pqlvin0/edit" TargetMode="External"/><Relationship Id="rId9" Type="http://schemas.openxmlformats.org/officeDocument/2006/relationships/hyperlink" Target="https://surfshark.com/research/chart/chatgpt-privacy-issues" TargetMode="External"/><Relationship Id="rId5" Type="http://schemas.openxmlformats.org/officeDocument/2006/relationships/hyperlink" Target="https://surfshark.com/research/chart/government-cyber-attacks" TargetMode="External"/><Relationship Id="rId6" Type="http://schemas.openxmlformats.org/officeDocument/2006/relationships/hyperlink" Target="https://docs.google.com/spreadsheets/d/1vSaCCA27FFct_94sU3FjARkZDyII6BmIBFb0pqlvin0/edit" TargetMode="External"/><Relationship Id="rId7" Type="http://schemas.openxmlformats.org/officeDocument/2006/relationships/hyperlink" Target="https://surfshark.com/research/chart/cybercrime-against-children" TargetMode="External"/><Relationship Id="rId8" Type="http://schemas.openxmlformats.org/officeDocument/2006/relationships/hyperlink" Target="https://docs.google.com/spreadsheets/d/1vSaCCA27FFct_94sU3FjARkZDyII6BmIBFb0pqlvin0/edit" TargetMode="External"/><Relationship Id="rId73" Type="http://schemas.openxmlformats.org/officeDocument/2006/relationships/hyperlink" Target="https://surfshark.com/research/chart/elections-vs-internet-restrictions" TargetMode="External"/><Relationship Id="rId72" Type="http://schemas.openxmlformats.org/officeDocument/2006/relationships/hyperlink" Target="https://surfshark.com/research/chart/cybersecurity-wrapped-2023" TargetMode="External"/><Relationship Id="rId75" Type="http://schemas.openxmlformats.org/officeDocument/2006/relationships/hyperlink" Target="https://surfshark.com/research/chart/credit-card-fraud-in-US" TargetMode="External"/><Relationship Id="rId74" Type="http://schemas.openxmlformats.org/officeDocument/2006/relationships/hyperlink" Target="https://docs.google.com/spreadsheets/d/1Lfs7fGsduihS31GynnR-6itRxnjhDIcU3EA2iaAlYnI/edit" TargetMode="External"/><Relationship Id="rId77" Type="http://schemas.openxmlformats.org/officeDocument/2006/relationships/hyperlink" Target="https://surfshark.com/research/chart/ai-incidents-2023" TargetMode="External"/><Relationship Id="rId76" Type="http://schemas.openxmlformats.org/officeDocument/2006/relationships/hyperlink" Target="https://docs.google.com/spreadsheets/d/1Lfs7fGsduihS31GynnR-6itRxnjhDIcU3EA2iaAlYnI/edit" TargetMode="External"/><Relationship Id="rId79" Type="http://schemas.openxmlformats.org/officeDocument/2006/relationships/hyperlink" Target="https://surfshark.com/research/chart/ethical-hacking-in-2023" TargetMode="External"/><Relationship Id="rId78" Type="http://schemas.openxmlformats.org/officeDocument/2006/relationships/hyperlink" Target="https://docs.google.com/spreadsheets/d/1Lfs7fGsduihS31GynnR-6itRxnjhDIcU3EA2iaAlYnI/edit" TargetMode="External"/><Relationship Id="rId71" Type="http://schemas.openxmlformats.org/officeDocument/2006/relationships/hyperlink" Target="https://surfshark.com/research/chart/digital-freedom-wrapped-2023" TargetMode="External"/><Relationship Id="rId70" Type="http://schemas.openxmlformats.org/officeDocument/2006/relationships/hyperlink" Target="https://docs.google.com/spreadsheets/d/1mnhKsjsaTdKuXlhLL7NaQbBKO4b-EqjukUa8Lt3EUK8/edit" TargetMode="External"/><Relationship Id="rId132" Type="http://schemas.openxmlformats.org/officeDocument/2006/relationships/hyperlink" Target="https://docs.google.com/spreadsheets/d/1lXGt6A9gQSyh3R7-OlMm5nGAyLMu2H6LpuVsOAYm0dE/edit?gid=573031349" TargetMode="External"/><Relationship Id="rId131" Type="http://schemas.openxmlformats.org/officeDocument/2006/relationships/hyperlink" Target="https://surfshark.com/research/chart/ransomware-attacks-2025" TargetMode="External"/><Relationship Id="rId130" Type="http://schemas.openxmlformats.org/officeDocument/2006/relationships/hyperlink" Target="https://docs.google.com/spreadsheets/d/1lXGt6A9gQSyh3R7-OlMm5nGAyLMu2H6LpuVsOAYm0dE/edit?gid=570809168" TargetMode="External"/><Relationship Id="rId136" Type="http://schemas.openxmlformats.org/officeDocument/2006/relationships/drawing" Target="../drawings/drawing1.xml"/><Relationship Id="rId135" Type="http://schemas.openxmlformats.org/officeDocument/2006/relationships/hyperlink" Target="https://surfshark.com/research/chart/cybersecurity-threats-while-traveling" TargetMode="External"/><Relationship Id="rId134" Type="http://schemas.openxmlformats.org/officeDocument/2006/relationships/hyperlink" Target="https://docs.google.com/spreadsheets/d/1lXGt6A9gQSyh3R7-OlMm5nGAyLMu2H6LpuVsOAYm0dE/edit?gid=1356865365" TargetMode="External"/><Relationship Id="rId133" Type="http://schemas.openxmlformats.org/officeDocument/2006/relationships/hyperlink" Target="https://surfshark.com/research/chart/healthcare-cybersecurity-challenges" TargetMode="External"/><Relationship Id="rId62" Type="http://schemas.openxmlformats.org/officeDocument/2006/relationships/hyperlink" Target="https://surfshark.com/research/chart/meta-paid-subscription-gdpr" TargetMode="External"/><Relationship Id="rId61" Type="http://schemas.openxmlformats.org/officeDocument/2006/relationships/hyperlink" Target="https://docs.google.com/spreadsheets/d/1mnhKsjsaTdKuXlhLL7NaQbBKO4b-EqjukUa8Lt3EUK8/edit" TargetMode="External"/><Relationship Id="rId64" Type="http://schemas.openxmlformats.org/officeDocument/2006/relationships/hyperlink" Target="https://docs.google.com/spreadsheets/d/1mnhKsjsaTdKuXlhLL7NaQbBKO4b-EqjukUa8Lt3EUK8/edit" TargetMode="External"/><Relationship Id="rId63" Type="http://schemas.openxmlformats.org/officeDocument/2006/relationships/hyperlink" Target="https://surfshark.com/research/chart/social-media-restrictions-by-duration" TargetMode="External"/><Relationship Id="rId66" Type="http://schemas.openxmlformats.org/officeDocument/2006/relationships/hyperlink" Target="https://docs.google.com/spreadsheets/d/1mnhKsjsaTdKuXlhLL7NaQbBKO4b-EqjukUa8Lt3EUK8/edit" TargetMode="External"/><Relationship Id="rId65" Type="http://schemas.openxmlformats.org/officeDocument/2006/relationships/hyperlink" Target="https://surfshark.com/research/chart/online-shopping-fraud" TargetMode="External"/><Relationship Id="rId68" Type="http://schemas.openxmlformats.org/officeDocument/2006/relationships/hyperlink" Target="https://docs.google.com/spreadsheets/d/1mnhKsjsaTdKuXlhLL7NaQbBKO4b-EqjukUa8Lt3EUK8/edit" TargetMode="External"/><Relationship Id="rId67" Type="http://schemas.openxmlformats.org/officeDocument/2006/relationships/hyperlink" Target="https://surfshark.com/research/chart/retail-breaches-exposed" TargetMode="External"/><Relationship Id="rId60" Type="http://schemas.openxmlformats.org/officeDocument/2006/relationships/hyperlink" Target="https://surfshark.com/research/chart/crypto-apps-data-collection" TargetMode="External"/><Relationship Id="rId69" Type="http://schemas.openxmlformats.org/officeDocument/2006/relationships/hyperlink" Target="https://surfshark.com/research/chart/holiday-tech-gifts" TargetMode="External"/><Relationship Id="rId51" Type="http://schemas.openxmlformats.org/officeDocument/2006/relationships/hyperlink" Target="https://docs.google.com/spreadsheets/d/1mnhKsjsaTdKuXlhLL7NaQbBKO4b-EqjukUa8Lt3EUK8/edit" TargetMode="External"/><Relationship Id="rId50" Type="http://schemas.openxmlformats.org/officeDocument/2006/relationships/hyperlink" Target="https://surfshark.com/research/chart/internet-divide-2023" TargetMode="External"/><Relationship Id="rId53" Type="http://schemas.openxmlformats.org/officeDocument/2006/relationships/hyperlink" Target="https://docs.google.com/spreadsheets/d/1mnhKsjsaTdKuXlhLL7NaQbBKO4b-EqjukUa8Lt3EUK8/edit" TargetMode="External"/><Relationship Id="rId52" Type="http://schemas.openxmlformats.org/officeDocument/2006/relationships/hyperlink" Target="https://surfshark.com/research/chart/social-engineering-scams-us" TargetMode="External"/><Relationship Id="rId55" Type="http://schemas.openxmlformats.org/officeDocument/2006/relationships/hyperlink" Target="https://docs.google.com/spreadsheets/d/1mnhKsjsaTdKuXlhLL7NaQbBKO4b-EqjukUa8Lt3EUK8/edit" TargetMode="External"/><Relationship Id="rId54" Type="http://schemas.openxmlformats.org/officeDocument/2006/relationships/hyperlink" Target="https://surfshark.com/research/chart/data-protection-democracies-autocracies" TargetMode="External"/><Relationship Id="rId57" Type="http://schemas.openxmlformats.org/officeDocument/2006/relationships/hyperlink" Target="https://docs.google.com/spreadsheets/d/1mnhKsjsaTdKuXlhLL7NaQbBKO4b-EqjukUa8Lt3EUK8/edit" TargetMode="External"/><Relationship Id="rId56" Type="http://schemas.openxmlformats.org/officeDocument/2006/relationships/hyperlink" Target="https://surfshark.com/research/chart/dql-2023-top-countries-weaknesses" TargetMode="External"/><Relationship Id="rId59" Type="http://schemas.openxmlformats.org/officeDocument/2006/relationships/hyperlink" Target="https://docs.google.com/spreadsheets/d/1mnhKsjsaTdKuXlhLL7NaQbBKO4b-EqjukUa8Lt3EUK8/edit" TargetMode="External"/><Relationship Id="rId58" Type="http://schemas.openxmlformats.org/officeDocument/2006/relationships/hyperlink" Target="https://surfshark.com/research/chart/social-media-gdpr-fin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reativecommons.org/licenses/by-nc-sa/3.0/"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 Type="http://schemas.openxmlformats.org/officeDocument/2006/relationships/hyperlink" Target="https://apps.apple.com/us/app/fitbod-gym-fitness-planner/id1041517543" TargetMode="External"/><Relationship Id="rId10" Type="http://schemas.openxmlformats.org/officeDocument/2006/relationships/hyperlink" Target="https://apps.apple.com/us/app/fitness/id1208224953" TargetMode="External"/><Relationship Id="rId13" Type="http://schemas.openxmlformats.org/officeDocument/2006/relationships/hyperlink" Target="https://apps.apple.com/us/app/push-workout-gym-tracker/id1621689462" TargetMode="External"/><Relationship Id="rId12" Type="http://schemas.openxmlformats.org/officeDocument/2006/relationships/hyperlink" Target="https://apps.apple.com/us/app/fitbit-health-fitness/id462638897" TargetMode="External"/><Relationship Id="rId15" Type="http://schemas.openxmlformats.org/officeDocument/2006/relationships/hyperlink" Target="https://apps.apple.com/us/app/centr-personal-fitness-app/id1382530817" TargetMode="External"/><Relationship Id="rId14" Type="http://schemas.openxmlformats.org/officeDocument/2006/relationships/hyperlink" Target="https://apps.apple.com/us/app/runna-running-training-plans/id1594204443" TargetMode="External"/><Relationship Id="rId17" Type="http://schemas.openxmlformats.org/officeDocument/2006/relationships/drawing" Target="../drawings/drawing3.xml"/><Relationship Id="rId16" Type="http://schemas.openxmlformats.org/officeDocument/2006/relationships/hyperlink" Target="https://apps.apple.com/us/app/fiit-workouts-fitness-plans/id1296861162" TargetMode="External"/><Relationship Id="rId1" Type="http://schemas.openxmlformats.org/officeDocument/2006/relationships/hyperlink" Target="https://surfshark.com/research/chart/fitness-apps-privacy" TargetMode="External"/><Relationship Id="rId2" Type="http://schemas.openxmlformats.org/officeDocument/2006/relationships/hyperlink" Target="https://apps.apple.com/us/app/nike-training-club-wellness/id301521403" TargetMode="External"/><Relationship Id="rId3" Type="http://schemas.openxmlformats.org/officeDocument/2006/relationships/hyperlink" Target="https://apps.apple.com/us/app/future-personal-training/id1288178982" TargetMode="External"/><Relationship Id="rId4" Type="http://schemas.openxmlformats.org/officeDocument/2006/relationships/hyperlink" Target="https://apps.apple.com/us/app/peloton-fitness-workouts/id792750948" TargetMode="External"/><Relationship Id="rId9" Type="http://schemas.openxmlformats.org/officeDocument/2006/relationships/hyperlink" Target="https://apps.apple.com/us/app/fiton-workouts-fitness-plans/id1442473191" TargetMode="External"/><Relationship Id="rId5" Type="http://schemas.openxmlformats.org/officeDocument/2006/relationships/hyperlink" Target="https://apps.apple.com/us/app/strava-run-bike-hike/id426826309" TargetMode="External"/><Relationship Id="rId6" Type="http://schemas.openxmlformats.org/officeDocument/2006/relationships/hyperlink" Target="https://apps.apple.com/us/app/sweat-fitness-app-for-women/id1049234587" TargetMode="External"/><Relationship Id="rId7" Type="http://schemas.openxmlformats.org/officeDocument/2006/relationships/hyperlink" Target="https://apps.apple.com/us/app/ladder-strength-training-plans/id1502936453" TargetMode="External"/><Relationship Id="rId8" Type="http://schemas.openxmlformats.org/officeDocument/2006/relationships/hyperlink" Target="https://apps.apple.com/us/app/alo-moves/id601617403" TargetMode="External"/></Relationships>
</file>

<file path=xl/worksheets/_rels/sheet4.xml.rels><?xml version="1.0" encoding="UTF-8" standalone="yes"?><Relationships xmlns="http://schemas.openxmlformats.org/package/2006/relationships"><Relationship Id="rId11" Type="http://schemas.openxmlformats.org/officeDocument/2006/relationships/hyperlink" Target="https://apps.apple.com/us/app/noom-weight-loss-food-tracker/id634598719" TargetMode="External"/><Relationship Id="rId10" Type="http://schemas.openxmlformats.org/officeDocument/2006/relationships/hyperlink" Target="https://apps.apple.com/us/app/foodvisor-calorie-counter/id1064020872" TargetMode="External"/><Relationship Id="rId13" Type="http://schemas.openxmlformats.org/officeDocument/2006/relationships/hyperlink" Target="https://apps.apple.com/us/app/weightwatchers-program/id331308914" TargetMode="External"/><Relationship Id="rId12" Type="http://schemas.openxmlformats.org/officeDocument/2006/relationships/hyperlink" Target="https://apps.apple.com/us/app/lifesum-food-calorie-tracker/id286906691" TargetMode="External"/><Relationship Id="rId15" Type="http://schemas.openxmlformats.org/officeDocument/2006/relationships/hyperlink" Target="https://apps.apple.com/us/app/calorie-counter/id444924121" TargetMode="External"/><Relationship Id="rId14" Type="http://schemas.openxmlformats.org/officeDocument/2006/relationships/hyperlink" Target="https://apps.apple.com/us/app/simple-weight-loss-coach/id1467720176" TargetMode="External"/><Relationship Id="rId17" Type="http://schemas.openxmlformats.org/officeDocument/2006/relationships/drawing" Target="../drawings/drawing4.xml"/><Relationship Id="rId16" Type="http://schemas.openxmlformats.org/officeDocument/2006/relationships/hyperlink" Target="https://apps.apple.com/us/app/bodyfast-intermittent-fasting/id1189568780" TargetMode="External"/><Relationship Id="rId1" Type="http://schemas.openxmlformats.org/officeDocument/2006/relationships/hyperlink" Target="https://surfshark.com/research/chart/weight-control-apps-privacy" TargetMode="External"/><Relationship Id="rId2" Type="http://schemas.openxmlformats.org/officeDocument/2006/relationships/hyperlink" Target="https://apps.apple.com/us/app/myfitnesspal-calorie-counter/id341232718" TargetMode="External"/><Relationship Id="rId3" Type="http://schemas.openxmlformats.org/officeDocument/2006/relationships/hyperlink" Target="https://apps.apple.com/us/app/lose-it-calorie-counter/id297368629" TargetMode="External"/><Relationship Id="rId4" Type="http://schemas.openxmlformats.org/officeDocument/2006/relationships/hyperlink" Target="https://apps.apple.com/us/app/calorie-counter-mynetdiary/id287529757" TargetMode="External"/><Relationship Id="rId9" Type="http://schemas.openxmlformats.org/officeDocument/2006/relationships/hyperlink" Target="https://apps.apple.com/us/app/fastic-ai-food-calorie-scanner/id1459260306" TargetMode="External"/><Relationship Id="rId5" Type="http://schemas.openxmlformats.org/officeDocument/2006/relationships/hyperlink" Target="https://apps.apple.com/us/app/hitmeal-calorie-food-tracker/id1544461026" TargetMode="External"/><Relationship Id="rId6" Type="http://schemas.openxmlformats.org/officeDocument/2006/relationships/hyperlink" Target="https://apps.apple.com/us/app/yazio-calorie-counter-diet/id946099227" TargetMode="External"/><Relationship Id="rId7" Type="http://schemas.openxmlformats.org/officeDocument/2006/relationships/hyperlink" Target="https://apps.apple.com/us/app/eato-ai-calorie-counter/id6478076952" TargetMode="External"/><Relationship Id="rId8" Type="http://schemas.openxmlformats.org/officeDocument/2006/relationships/hyperlink" Target="https://apps.apple.com/us/app/cronometer-calorie-counter/id1145935738"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surfshark.com/research/chart/ai-companion-apps" TargetMode="External"/><Relationship Id="rId2" Type="http://schemas.openxmlformats.org/officeDocument/2006/relationships/hyperlink" Target="https://apps.apple.com/us/app/kindroid/id6451038161" TargetMode="External"/><Relationship Id="rId3" Type="http://schemas.openxmlformats.org/officeDocument/2006/relationships/hyperlink" Target="https://apps.apple.com/us/app/nomi-ai-companion-with-a-soul/id6450270929" TargetMode="External"/><Relationship Id="rId4" Type="http://schemas.openxmlformats.org/officeDocument/2006/relationships/hyperlink" Target="https://apps.apple.com/us/app/replika-ai-friend/id1158555867" TargetMode="External"/><Relationship Id="rId5" Type="http://schemas.openxmlformats.org/officeDocument/2006/relationships/hyperlink" Target="https://apps.apple.com/us/app/character-ai-chat-talk-text/id1671705818" TargetMode="External"/><Relationship Id="rId6" Type="http://schemas.openxmlformats.org/officeDocument/2006/relationships/hyperlink" Target="https://apps.apple.com/us/app/eva-ai-chat-clever-chatbot/id1551794721" TargetMode="External"/><Relationship Id="rId7"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surfshark.com/research/chart/uk-social-media-breaches"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1" Type="http://schemas.openxmlformats.org/officeDocument/2006/relationships/hyperlink" Target="https://apps.apple.com/us/app/jasper-ai-writer-ai-chatbot/id1671683184" TargetMode="External"/><Relationship Id="rId10" Type="http://schemas.openxmlformats.org/officeDocument/2006/relationships/hyperlink" Target="https://apps.apple.com/us/app/poe-fast-ai-chat/id1640745955" TargetMode="External"/><Relationship Id="rId12" Type="http://schemas.openxmlformats.org/officeDocument/2006/relationships/drawing" Target="../drawings/drawing7.xml"/><Relationship Id="rId1" Type="http://schemas.openxmlformats.org/officeDocument/2006/relationships/hyperlink" Target="https://surfshark.com/research/chart/ai-chatbots-privacy" TargetMode="External"/><Relationship Id="rId2" Type="http://schemas.openxmlformats.org/officeDocument/2006/relationships/hyperlink" Target="https://apps.apple.com/us/app/chatgpt/id6448311069" TargetMode="External"/><Relationship Id="rId3" Type="http://schemas.openxmlformats.org/officeDocument/2006/relationships/hyperlink" Target="https://apps.apple.com/us/app/deepseek-ai-assistant/id6737597349" TargetMode="External"/><Relationship Id="rId4" Type="http://schemas.openxmlformats.org/officeDocument/2006/relationships/hyperlink" Target="https://apps.apple.com/us/app/google-gemini/id6477489729" TargetMode="External"/><Relationship Id="rId9" Type="http://schemas.openxmlformats.org/officeDocument/2006/relationships/hyperlink" Target="https://apps.apple.com/us/app/pi-personal-ai-assistant/id6445815935" TargetMode="External"/><Relationship Id="rId5" Type="http://schemas.openxmlformats.org/officeDocument/2006/relationships/hyperlink" Target="https://apps.apple.com/us/app/microsoft-copilot/id6472538445" TargetMode="External"/><Relationship Id="rId6" Type="http://schemas.openxmlformats.org/officeDocument/2006/relationships/hyperlink" Target="https://apps.apple.com/us/app/grok/id6670324846" TargetMode="External"/><Relationship Id="rId7" Type="http://schemas.openxmlformats.org/officeDocument/2006/relationships/hyperlink" Target="https://apps.apple.com/us/app/claude-by-anthropic/id6473753684" TargetMode="External"/><Relationship Id="rId8" Type="http://schemas.openxmlformats.org/officeDocument/2006/relationships/hyperlink" Target="https://apps.apple.com/us/app/perplexity-ask-anything/id1668000334"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surfshark.com/research/chart/oversharing-online" TargetMode="External"/><Relationship Id="rId2" Type="http://schemas.openxmlformats.org/officeDocument/2006/relationships/hyperlink" Target="https://transparencyreport.google.com/eu-privacy/overview"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1" Type="http://schemas.openxmlformats.org/officeDocument/2006/relationships/hyperlink" Target="https://apps.apple.com/us/app/phone-cleaner-ai-clean-storage/id1463756032" TargetMode="External"/><Relationship Id="rId10" Type="http://schemas.openxmlformats.org/officeDocument/2006/relationships/hyperlink" Target="https://apps.apple.com/us/app/smart-cleaner-free-up-storage/id6448222268" TargetMode="External"/><Relationship Id="rId12" Type="http://schemas.openxmlformats.org/officeDocument/2006/relationships/drawing" Target="../drawings/drawing9.xml"/><Relationship Id="rId1" Type="http://schemas.openxmlformats.org/officeDocument/2006/relationships/hyperlink" Target="https://surfshark.com/research/chart/phone-cleaner-apps" TargetMode="External"/><Relationship Id="rId2" Type="http://schemas.openxmlformats.org/officeDocument/2006/relationships/hyperlink" Target="https://apps.apple.com/us/app/cleanup-phone-storage-cleaner/id1510944943" TargetMode="External"/><Relationship Id="rId3" Type="http://schemas.openxmlformats.org/officeDocument/2006/relationships/hyperlink" Target="https://apps.apple.com/us/app/cleaner-guru-cleaning-app/id1476380919" TargetMode="External"/><Relationship Id="rId4" Type="http://schemas.openxmlformats.org/officeDocument/2006/relationships/hyperlink" Target="https://apps.apple.com/us/app/ai-cleaner-clean-up-storage/id6448330325" TargetMode="External"/><Relationship Id="rId9" Type="http://schemas.openxmlformats.org/officeDocument/2006/relationships/hyperlink" Target="https://apps.apple.com/us/app/turbo-cleaner-clean-storage/id6738571716" TargetMode="External"/><Relationship Id="rId5" Type="http://schemas.openxmlformats.org/officeDocument/2006/relationships/hyperlink" Target="https://apps.apple.com/us/app/photo-cleaner-swipewipe/id1583884012" TargetMode="External"/><Relationship Id="rId6" Type="http://schemas.openxmlformats.org/officeDocument/2006/relationships/hyperlink" Target="https://apps.apple.com/us/app/clean-up-storage-cleaner-kit/id1194582243" TargetMode="External"/><Relationship Id="rId7" Type="http://schemas.openxmlformats.org/officeDocument/2006/relationships/hyperlink" Target="https://apps.apple.com/us/app/mighty-cleaner-ai-clean-up/id6448141961" TargetMode="External"/><Relationship Id="rId8" Type="http://schemas.openxmlformats.org/officeDocument/2006/relationships/hyperlink" Target="https://apps.apple.com/us/app/one-cleaner-ai-clean-storage/id6740607904"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surfshark.com/research/chart/ransomware-attacks-2025"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surfshark.com/research/chart/ai-chatbots-privacy" TargetMode="External"/><Relationship Id="rId2" Type="http://schemas.openxmlformats.org/officeDocument/2006/relationships/hyperlink" Target="https://table.media/wp-content/uploads/2024/07/30132828/Cost-of-a-Data-Breach-Report-2024.pdf" TargetMode="External"/><Relationship Id="rId3" Type="http://schemas.openxmlformats.org/officeDocument/2006/relationships/hyperlink" Target="https://www.europol.europa.eu/cms/sites/default/files/documents/empact-factsheet-2023.pdf" TargetMode="External"/><Relationship Id="rId4" Type="http://schemas.openxmlformats.org/officeDocument/2006/relationships/hyperlink" Target="https://www.menosfios.com/en/25-dos-pontos-wifi-abertos-em-paris-sao-inseguros/" TargetMode="External"/><Relationship Id="rId5" Type="http://schemas.openxmlformats.org/officeDocument/2006/relationships/hyperlink" Target="https://keepnetlabs.com/blog/2024-qr-code-phishing-trends-in-depth-analysis-of-rising-quishing-statistics" TargetMode="External"/><Relationship Id="rId6"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surfshark.com/research/chart/healthcare-cybersecurity-challenges" TargetMode="External"/><Relationship Id="rId2" Type="http://schemas.openxmlformats.org/officeDocument/2006/relationships/hyperlink" Target="https://ocrportal.hhs.gov/ocr/breach/breach_report.jsf" TargetMode="External"/><Relationship Id="rId3" Type="http://schemas.openxmlformats.org/officeDocument/2006/relationships/hyperlink" Target="https://ico.org.uk/action-weve-taken/data-security-incident-trends/" TargetMode="Externa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88"/>
    <col customWidth="1" min="2" max="2" width="29.25"/>
    <col customWidth="1" min="3" max="3" width="37.5"/>
    <col customWidth="1" min="4" max="4" width="48.0"/>
    <col customWidth="1" min="5" max="5" width="86.38"/>
  </cols>
  <sheetData>
    <row r="1">
      <c r="A1" s="1" t="str">
        <f>IFERROR(__xludf.DUMMYFUNCTION("IMPORTRANGE(""https://docs.google.com/spreadsheets/d/1YBLlPlkUz4MW5dF6evOv660GQrBwjAfpI3YAR_1OcjM/edit#gid=2106305508"",""'Map of public data'!A1:E"")"),"Publish date")</f>
        <v>Publish date</v>
      </c>
      <c r="B1" s="2" t="str">
        <f>IFERROR(__xludf.DUMMYFUNCTION("""COMPUTED_VALUE"""),"Page title")</f>
        <v>Page title</v>
      </c>
      <c r="C1" s="2" t="str">
        <f>IFERROR(__xludf.DUMMYFUNCTION("""COMPUTED_VALUE"""),"Main insight")</f>
        <v>Main insight</v>
      </c>
      <c r="D1" s="1" t="str">
        <f>IFERROR(__xludf.DUMMYFUNCTION("""COMPUTED_VALUE"""),"Link to page")</f>
        <v>Link to page</v>
      </c>
      <c r="E1" s="1" t="str">
        <f>IFERROR(__xludf.DUMMYFUNCTION("""COMPUTED_VALUE"""),"Link to data sheet")</f>
        <v>Link to data sheet</v>
      </c>
    </row>
    <row r="2">
      <c r="A2" s="3">
        <f>IFERROR(__xludf.DUMMYFUNCTION("""COMPUTED_VALUE"""),45033.0)</f>
        <v>45033</v>
      </c>
      <c r="B2" s="4" t="str">
        <f>IFERROR(__xludf.DUMMYFUNCTION("""COMPUTED_VALUE"""),"VPN restrictions around the world")</f>
        <v>VPN restrictions around the world</v>
      </c>
      <c r="C2" s="4" t="str">
        <f>IFERROR(__xludf.DUMMYFUNCTION("""COMPUTED_VALUE"""),"Out of the 195 examined countries and territories, 15 are confirmed to have imposed restrictions on VPN use")</f>
        <v>Out of the 195 examined countries and territories, 15 are confirmed to have imposed restrictions on VPN use</v>
      </c>
      <c r="D2" s="5" t="str">
        <f>IFERROR(__xludf.DUMMYFUNCTION("""COMPUTED_VALUE"""),"https://surfshark.com/research/chart/global-vpn-restrictions")</f>
        <v>https://surfshark.com/research/chart/global-vpn-restrictions</v>
      </c>
      <c r="E2" s="5" t="str">
        <f>IFERROR(__xludf.DUMMYFUNCTION("""COMPUTED_VALUE"""),"https://docs.google.com/spreadsheets/d/1vSaCCA27FFct_94sU3FjARkZDyII6BmIBFb0pqlvin0/edit#gid=216810635")</f>
        <v>https://docs.google.com/spreadsheets/d/1vSaCCA27FFct_94sU3FjARkZDyII6BmIBFb0pqlvin0/edit#gid=216810635</v>
      </c>
    </row>
    <row r="3">
      <c r="A3" s="3">
        <f>IFERROR(__xludf.DUMMYFUNCTION("""COMPUTED_VALUE"""),45040.0)</f>
        <v>45040</v>
      </c>
      <c r="B3" s="4" t="str">
        <f>IFERROR(__xludf.DUMMYFUNCTION("""COMPUTED_VALUE"""),"Messaging app restrictions around the world")</f>
        <v>Messaging app restrictions around the world</v>
      </c>
      <c r="C3" s="4" t="str">
        <f>IFERROR(__xludf.DUMMYFUNCTION("""COMPUTED_VALUE"""),"1 in 4 of the world's countries have restricted messaging apps, either presently or in the past")</f>
        <v>1 in 4 of the world's countries have restricted messaging apps, either presently or in the past</v>
      </c>
      <c r="D3" s="5" t="str">
        <f>IFERROR(__xludf.DUMMYFUNCTION("""COMPUTED_VALUE"""),"https://surfshark.com/research/chart/messaging-app-restrictions")</f>
        <v>https://surfshark.com/research/chart/messaging-app-restrictions</v>
      </c>
      <c r="E3" s="5" t="str">
        <f>IFERROR(__xludf.DUMMYFUNCTION("""COMPUTED_VALUE"""),"https://docs.google.com/spreadsheets/d/1vSaCCA27FFct_94sU3FjARkZDyII6BmIBFb0pqlvin0/edit#gid=587627450")</f>
        <v>https://docs.google.com/spreadsheets/d/1vSaCCA27FFct_94sU3FjARkZDyII6BmIBFb0pqlvin0/edit#gid=587627450</v>
      </c>
    </row>
    <row r="4">
      <c r="A4" s="3">
        <f>IFERROR(__xludf.DUMMYFUNCTION("""COMPUTED_VALUE"""),45049.0)</f>
        <v>45049</v>
      </c>
      <c r="B4" s="4" t="str">
        <f>IFERROR(__xludf.DUMMYFUNCTION("""COMPUTED_VALUE"""),"Cyberattacks on government agencies")</f>
        <v>Cyberattacks on government agencies</v>
      </c>
      <c r="C4" s="4" t="str">
        <f>IFERROR(__xludf.DUMMYFUNCTION("""COMPUTED_VALUE"""),"Government agencies were targeted by over
700 significant cyberattacks since 2006")</f>
        <v>Government agencies were targeted by over
700 significant cyberattacks since 2006</v>
      </c>
      <c r="D4" s="5" t="str">
        <f>IFERROR(__xludf.DUMMYFUNCTION("""COMPUTED_VALUE"""),"https://surfshark.com/research/chart/government-cyber-attacks")</f>
        <v>https://surfshark.com/research/chart/government-cyber-attacks</v>
      </c>
      <c r="E4" s="5" t="str">
        <f>IFERROR(__xludf.DUMMYFUNCTION("""COMPUTED_VALUE"""),"https://docs.google.com/spreadsheets/d/1vSaCCA27FFct_94sU3FjARkZDyII6BmIBFb0pqlvin0/edit#gid=920214479")</f>
        <v>https://docs.google.com/spreadsheets/d/1vSaCCA27FFct_94sU3FjARkZDyII6BmIBFb0pqlvin0/edit#gid=920214479</v>
      </c>
    </row>
    <row r="5">
      <c r="A5" s="3">
        <f>IFERROR(__xludf.DUMMYFUNCTION("""COMPUTED_VALUE"""),45055.0)</f>
        <v>45055</v>
      </c>
      <c r="B5" s="4" t="str">
        <f>IFERROR(__xludf.DUMMYFUNCTION("""COMPUTED_VALUE"""),"Cybercrime against children is on the rise")</f>
        <v>Cybercrime against children is on the rise</v>
      </c>
      <c r="C5" s="4" t="str">
        <f>IFERROR(__xludf.DUMMYFUNCTION("""COMPUTED_VALUE"""),"2022 saw a nearly 20% increase in child victims of cybercrime, and a more than 2x increase in financial losses from these crimes")</f>
        <v>2022 saw a nearly 20% increase in child victims of cybercrime, and a more than 2x increase in financial losses from these crimes</v>
      </c>
      <c r="D5" s="5" t="str">
        <f>IFERROR(__xludf.DUMMYFUNCTION("""COMPUTED_VALUE"""),"https://surfshark.com/research/chart/cybercrime-against-children")</f>
        <v>https://surfshark.com/research/chart/cybercrime-against-children</v>
      </c>
      <c r="E5" s="5" t="str">
        <f>IFERROR(__xludf.DUMMYFUNCTION("""COMPUTED_VALUE"""),"https://docs.google.com/spreadsheets/d/1vSaCCA27FFct_94sU3FjARkZDyII6BmIBFb0pqlvin0/edit#gid=473902950")</f>
        <v>https://docs.google.com/spreadsheets/d/1vSaCCA27FFct_94sU3FjARkZDyII6BmIBFb0pqlvin0/edit#gid=473902950</v>
      </c>
    </row>
    <row r="6">
      <c r="A6" s="3">
        <f>IFERROR(__xludf.DUMMYFUNCTION("""COMPUTED_VALUE"""),45062.0)</f>
        <v>45062</v>
      </c>
      <c r="B6" s="4" t="str">
        <f>IFERROR(__xludf.DUMMYFUNCTION("""COMPUTED_VALUE"""),"Is ChatGPT Violating Your Privacy?")</f>
        <v>Is ChatGPT Violating Your Privacy?</v>
      </c>
      <c r="C6" s="4" t="str">
        <f>IFERROR(__xludf.DUMMYFUNCTION("""COMPUTED_VALUE"""),"Five ways ChatGPT may be violating your privacy rights")</f>
        <v>Five ways ChatGPT may be violating your privacy rights</v>
      </c>
      <c r="D6" s="5" t="str">
        <f>IFERROR(__xludf.DUMMYFUNCTION("""COMPUTED_VALUE"""),"https://surfshark.com/research/chart/chatgpt-privacy-issues")</f>
        <v>https://surfshark.com/research/chart/chatgpt-privacy-issues</v>
      </c>
      <c r="E6" s="6"/>
    </row>
    <row r="7">
      <c r="A7" s="3">
        <f>IFERROR(__xludf.DUMMYFUNCTION("""COMPUTED_VALUE"""),45069.0)</f>
        <v>45069</v>
      </c>
      <c r="B7" s="4" t="str">
        <f>IFERROR(__xludf.DUMMYFUNCTION("""COMPUTED_VALUE"""),"1 in 3 American TikTok users would support its ban")</f>
        <v>1 in 3 American TikTok users would support its ban</v>
      </c>
      <c r="C7" s="4" t="str">
        <f>IFERROR(__xludf.DUMMYFUNCTION("""COMPUTED_VALUE"""),"Millennial TikTok users in the US are most supportive of a potential ban, and most aware of who owns TikTok
")</f>
        <v>Millennial TikTok users in the US are most supportive of a potential ban, and most aware of who owns TikTok
</v>
      </c>
      <c r="D7" s="5" t="str">
        <f>IFERROR(__xludf.DUMMYFUNCTION("""COMPUTED_VALUE"""),"https://surfshark.com/research/chart/americans-attitudes-on-tiktok-ban")</f>
        <v>https://surfshark.com/research/chart/americans-attitudes-on-tiktok-ban</v>
      </c>
      <c r="E7" s="5" t="str">
        <f>IFERROR(__xludf.DUMMYFUNCTION("""COMPUTED_VALUE"""),"https://docs.google.com/spreadsheets/d/1vSaCCA27FFct_94sU3FjARkZDyII6BmIBFb0pqlvin0/edit#gid=587627450")</f>
        <v>https://docs.google.com/spreadsheets/d/1vSaCCA27FFct_94sU3FjARkZDyII6BmIBFb0pqlvin0/edit#gid=587627450</v>
      </c>
    </row>
    <row r="8">
      <c r="A8" s="3">
        <f>IFERROR(__xludf.DUMMYFUNCTION("""COMPUTED_VALUE"""),45076.0)</f>
        <v>45076</v>
      </c>
      <c r="B8" s="4" t="str">
        <f>IFERROR(__xludf.DUMMYFUNCTION("""COMPUTED_VALUE"""),"Cybersecurity in former Soviet countries")</f>
        <v>Cybersecurity in former Soviet countries</v>
      </c>
      <c r="C8" s="4" t="str">
        <f>IFERROR(__xludf.DUMMYFUNCTION("""COMPUTED_VALUE"""),"Amongst the former Soviet countries, the Baltic States and Ukraine lead in cybersecurity")</f>
        <v>Amongst the former Soviet countries, the Baltic States and Ukraine lead in cybersecurity</v>
      </c>
      <c r="D8" s="5" t="str">
        <f>IFERROR(__xludf.DUMMYFUNCTION("""COMPUTED_VALUE"""),"https://surfshark.com/research/chart/cybersecurity-in-former-soviet-countries")</f>
        <v>https://surfshark.com/research/chart/cybersecurity-in-former-soviet-countries</v>
      </c>
      <c r="E8" s="5" t="str">
        <f>IFERROR(__xludf.DUMMYFUNCTION("""COMPUTED_VALUE"""),"https://docs.google.com/spreadsheets/d/1vSaCCA27FFct_94sU3FjARkZDyII6BmIBFb0pqlvin0/edit#gid=1465701059")</f>
        <v>https://docs.google.com/spreadsheets/d/1vSaCCA27FFct_94sU3FjARkZDyII6BmIBFb0pqlvin0/edit#gid=1465701059</v>
      </c>
    </row>
    <row r="9">
      <c r="A9" s="3">
        <f>IFERROR(__xludf.DUMMYFUNCTION("""COMPUTED_VALUE"""),45083.0)</f>
        <v>45083</v>
      </c>
      <c r="B9" s="4" t="str">
        <f>IFERROR(__xludf.DUMMYFUNCTION("""COMPUTED_VALUE"""),"Crypto scams in the US")</f>
        <v>Crypto scams in the US</v>
      </c>
      <c r="C9" s="4" t="str">
        <f>IFERROR(__xludf.DUMMYFUNCTION("""COMPUTED_VALUE"""),"In 2022, Americans lost over $2.3B in crypto
scams - $86K per victim")</f>
        <v>In 2022, Americans lost over $2.3B in crypto
scams - $86K per victim</v>
      </c>
      <c r="D9" s="5" t="str">
        <f>IFERROR(__xludf.DUMMYFUNCTION("""COMPUTED_VALUE"""),"https://surfshark.com/research/chart/us-cryptocurrency-scams")</f>
        <v>https://surfshark.com/research/chart/us-cryptocurrency-scams</v>
      </c>
      <c r="E9" s="5" t="str">
        <f>IFERROR(__xludf.DUMMYFUNCTION("""COMPUTED_VALUE"""),"https://docs.google.com/spreadsheets/d/1vSaCCA27FFct_94sU3FjARkZDyII6BmIBFb0pqlvin0/edit#gid=1934777563")</f>
        <v>https://docs.google.com/spreadsheets/d/1vSaCCA27FFct_94sU3FjARkZDyII6BmIBFb0pqlvin0/edit#gid=1934777563</v>
      </c>
    </row>
    <row r="10">
      <c r="A10" s="3">
        <f>IFERROR(__xludf.DUMMYFUNCTION("""COMPUTED_VALUE"""),45090.0)</f>
        <v>45090</v>
      </c>
      <c r="B10" s="4" t="str">
        <f>IFERROR(__xludf.DUMMYFUNCTION("""COMPUTED_VALUE"""),"Ukraine’s invasion and data breaches")</f>
        <v>Ukraine’s invasion and data breaches</v>
      </c>
      <c r="C10" s="4" t="str">
        <f>IFERROR(__xludf.DUMMYFUNCTION("""COMPUTED_VALUE"""),"Ukrainian accounts were breached 3x more before the Russian invasion, while Russian accounts were affected 7x more after")</f>
        <v>Ukrainian accounts were breached 3x more before the Russian invasion, while Russian accounts were affected 7x more after</v>
      </c>
      <c r="D10" s="5" t="str">
        <f>IFERROR(__xludf.DUMMYFUNCTION("""COMPUTED_VALUE"""),"https://surfshark.com/research/chart/war-impact-on-data-breaches")</f>
        <v>https://surfshark.com/research/chart/war-impact-on-data-breaches</v>
      </c>
      <c r="E10" s="5" t="str">
        <f>IFERROR(__xludf.DUMMYFUNCTION("""COMPUTED_VALUE"""),"https://docs.google.com/spreadsheets/d/1vSaCCA27FFct_94sU3FjARkZDyII6BmIBFb0pqlvin0/edit#gid=2111274590")</f>
        <v>https://docs.google.com/spreadsheets/d/1vSaCCA27FFct_94sU3FjARkZDyII6BmIBFb0pqlvin0/edit#gid=2111274590</v>
      </c>
    </row>
    <row r="11">
      <c r="A11" s="3">
        <f>IFERROR(__xludf.DUMMYFUNCTION("""COMPUTED_VALUE"""),45097.0)</f>
        <v>45097</v>
      </c>
      <c r="B11" s="4" t="str">
        <f>IFERROR(__xludf.DUMMYFUNCTION("""COMPUTED_VALUE"""),"Nearly half of US TikTok users worry about their privacy")</f>
        <v>Nearly half of US TikTok users worry about their privacy</v>
      </c>
      <c r="C11" s="4" t="str">
        <f>IFERROR(__xludf.DUMMYFUNCTION("""COMPUTED_VALUE"""),"American millennials are most concerned about their privacy on TikTok, and most likely to take action")</f>
        <v>American millennials are most concerned about their privacy on TikTok, and most likely to take action</v>
      </c>
      <c r="D11" s="5" t="str">
        <f>IFERROR(__xludf.DUMMYFUNCTION("""COMPUTED_VALUE"""),"https://surfshark.com/research/chart/views-on-tiktok-privacy")</f>
        <v>https://surfshark.com/research/chart/views-on-tiktok-privacy</v>
      </c>
      <c r="E11" s="5" t="str">
        <f>IFERROR(__xludf.DUMMYFUNCTION("""COMPUTED_VALUE"""),"https://docs.google.com/spreadsheets/d/1vSaCCA27FFct_94sU3FjARkZDyII6BmIBFb0pqlvin0/edit#gid=682850784")</f>
        <v>https://docs.google.com/spreadsheets/d/1vSaCCA27FFct_94sU3FjARkZDyII6BmIBFb0pqlvin0/edit#gid=682850784</v>
      </c>
    </row>
    <row r="12">
      <c r="A12" s="3">
        <f>IFERROR(__xludf.DUMMYFUNCTION("""COMPUTED_VALUE"""),45104.0)</f>
        <v>45104</v>
      </c>
      <c r="B12" s="4" t="str">
        <f>IFERROR(__xludf.DUMMYFUNCTION("""COMPUTED_VALUE"""),"The start of this decade marks a sharp rise in AI incidents")</f>
        <v>The start of this decade marks a sharp rise in AI incidents</v>
      </c>
      <c r="C12" s="4" t="str">
        <f>IFERROR(__xludf.DUMMYFUNCTION("""COMPUTED_VALUE"""),"2023 is predicted to have the largest number of AI incidents")</f>
        <v>2023 is predicted to have the largest number of AI incidents</v>
      </c>
      <c r="D12" s="5" t="str">
        <f>IFERROR(__xludf.DUMMYFUNCTION("""COMPUTED_VALUE"""),"https://surfshark.com/research/chart/statistics-of-ai-incidents")</f>
        <v>https://surfshark.com/research/chart/statistics-of-ai-incidents</v>
      </c>
      <c r="E12" s="5" t="str">
        <f>IFERROR(__xludf.DUMMYFUNCTION("""COMPUTED_VALUE"""),"https://docs.google.com/spreadsheets/d/1vSaCCA27FFct_94sU3FjARkZDyII6BmIBFb0pqlvin0/edit#gid=1966593741")</f>
        <v>https://docs.google.com/spreadsheets/d/1vSaCCA27FFct_94sU3FjARkZDyII6BmIBFb0pqlvin0/edit#gid=1966593741</v>
      </c>
    </row>
    <row r="13">
      <c r="A13" s="3">
        <f>IFERROR(__xludf.DUMMYFUNCTION("""COMPUTED_VALUE"""),45114.0)</f>
        <v>45114</v>
      </c>
      <c r="B13" s="4" t="str">
        <f>IFERROR(__xludf.DUMMYFUNCTION("""COMPUTED_VALUE"""),"Five companies have been mentioned in a third of all AI incidents since 2010")</f>
        <v>Five companies have been mentioned in a third of all AI incidents since 2010</v>
      </c>
      <c r="C13" s="4" t="str">
        <f>IFERROR(__xludf.DUMMYFUNCTION("""COMPUTED_VALUE"""),"OpenAI is the company mentioned in the most AI incidents in 2023")</f>
        <v>OpenAI is the company mentioned in the most AI incidents in 2023</v>
      </c>
      <c r="D13" s="5" t="str">
        <f>IFERROR(__xludf.DUMMYFUNCTION("""COMPUTED_VALUE"""),"https://surfshark.com/research/chart/shark-awareness-day")</f>
        <v>https://surfshark.com/research/chart/shark-awareness-day</v>
      </c>
      <c r="E13" s="5" t="str">
        <f>IFERROR(__xludf.DUMMYFUNCTION("""COMPUTED_VALUE"""),"https://docs.google.com/spreadsheets/d/12U4iQOYxf1l3qtvmrozU7f16TdUOnK7TQ29Hl9Oc_k8/edit#gid=1578743091")</f>
        <v>https://docs.google.com/spreadsheets/d/12U4iQOYxf1l3qtvmrozU7f16TdUOnK7TQ29Hl9Oc_k8/edit#gid=1578743091</v>
      </c>
    </row>
    <row r="14">
      <c r="A14" s="3">
        <f>IFERROR(__xludf.DUMMYFUNCTION("""COMPUTED_VALUE"""),45118.0)</f>
        <v>45118</v>
      </c>
      <c r="B14" s="4" t="str">
        <f>IFERROR(__xludf.DUMMYFUNCTION("""COMPUTED_VALUE"""),"Surfshark is celebrating Shark Awareness Day together with Shark Trust")</f>
        <v>Surfshark is celebrating Shark Awareness Day together with Shark Trust</v>
      </c>
      <c r="C14" s="4" t="str">
        <f>IFERROR(__xludf.DUMMYFUNCTION("""COMPUTED_VALUE"""),"Over the last 5 years, there were 1M phishing victims")</f>
        <v>Over the last 5 years, there were 1M phishing victims</v>
      </c>
      <c r="D14" s="5" t="str">
        <f>IFERROR(__xludf.DUMMYFUNCTION("""COMPUTED_VALUE"""),"https://surfshark.com/research/chart/shark-awareness-day")</f>
        <v>https://surfshark.com/research/chart/shark-awareness-day</v>
      </c>
      <c r="E14" s="5" t="str">
        <f>IFERROR(__xludf.DUMMYFUNCTION("""COMPUTED_VALUE"""),"https://docs.google.com/spreadsheets/d/12U4iQOYxf1l3qtvmrozU7f16TdUOnK7TQ29Hl9Oc_k8/edit#gid=632532682")</f>
        <v>https://docs.google.com/spreadsheets/d/12U4iQOYxf1l3qtvmrozU7f16TdUOnK7TQ29Hl9Oc_k8/edit#gid=632532682</v>
      </c>
    </row>
    <row r="15">
      <c r="A15" s="3">
        <f>IFERROR(__xludf.DUMMYFUNCTION("""COMPUTED_VALUE"""),45125.0)</f>
        <v>45125</v>
      </c>
      <c r="B15" s="4" t="str">
        <f>IFERROR(__xludf.DUMMYFUNCTION("""COMPUTED_VALUE"""),"US crypto scam losses nearly doubled in 2022")</f>
        <v>US crypto scam losses nearly doubled in 2022</v>
      </c>
      <c r="C15" s="4" t="str">
        <f>IFERROR(__xludf.DUMMYFUNCTION("""COMPUTED_VALUE"""),"Crypto scam losses in the US surged by 88% in 2022
28 states saw an even bigger increase")</f>
        <v>Crypto scam losses in the US surged by 88% in 2022
28 states saw an even bigger increase</v>
      </c>
      <c r="D15" s="5" t="str">
        <f>IFERROR(__xludf.DUMMYFUNCTION("""COMPUTED_VALUE"""),"https://surfshark.com/research/chart/crypto-scam-losses-2021-vs-2022 ")</f>
        <v>https://surfshark.com/research/chart/crypto-scam-losses-2021-vs-2022 </v>
      </c>
      <c r="E15" s="5" t="str">
        <f>IFERROR(__xludf.DUMMYFUNCTION("""COMPUTED_VALUE"""),"https://docs.google.com/spreadsheets/d/12U4iQOYxf1l3qtvmrozU7f16TdUOnK7TQ29Hl9Oc_k8/edit#gid=1900933787")</f>
        <v>https://docs.google.com/spreadsheets/d/12U4iQOYxf1l3qtvmrozU7f16TdUOnK7TQ29Hl9Oc_k8/edit#gid=1900933787</v>
      </c>
    </row>
    <row r="16">
      <c r="A16" s="3">
        <f>IFERROR(__xludf.DUMMYFUNCTION("""COMPUTED_VALUE"""),45132.0)</f>
        <v>45132</v>
      </c>
      <c r="B16" s="4" t="str">
        <f>IFERROR(__xludf.DUMMYFUNCTION("""COMPUTED_VALUE"""),"Potential privacy issues of Threads")</f>
        <v>Potential privacy issues of Threads</v>
      </c>
      <c r="C16" s="4" t="str">
        <f>IFERROR(__xludf.DUMMYFUNCTION("""COMPUTED_VALUE"""),"Three ways Threads may be violating your privacy rights")</f>
        <v>Three ways Threads may be violating your privacy rights</v>
      </c>
      <c r="D16" s="5" t="str">
        <f>IFERROR(__xludf.DUMMYFUNCTION("""COMPUTED_VALUE"""),"https://surfshark.com/research/chart/threads-privacy-issues")</f>
        <v>https://surfshark.com/research/chart/threads-privacy-issues</v>
      </c>
      <c r="E16" s="6"/>
    </row>
    <row r="17">
      <c r="A17" s="3">
        <f>IFERROR(__xludf.DUMMYFUNCTION("""COMPUTED_VALUE"""),45139.0)</f>
        <v>45139</v>
      </c>
      <c r="B17" s="4" t="str">
        <f>IFERROR(__xludf.DUMMYFUNCTION("""COMPUTED_VALUE"""),"US TikTok users unconcerned about mental health impact")</f>
        <v>US TikTok users unconcerned about mental health impact</v>
      </c>
      <c r="C17" s="4" t="str">
        <f>IFERROR(__xludf.DUMMYFUNCTION("""COMPUTED_VALUE"""),"3/4 of American TikTok users see the platform as addictive, but only 1/4 feel negative mental effects")</f>
        <v>3/4 of American TikTok users see the platform as addictive, but only 1/4 feel negative mental effects</v>
      </c>
      <c r="D17" s="5" t="str">
        <f>IFERROR(__xludf.DUMMYFUNCTION("""COMPUTED_VALUE"""),"https://surfshark.com/research/chart/tiktok-and-mental-health")</f>
        <v>https://surfshark.com/research/chart/tiktok-and-mental-health</v>
      </c>
      <c r="E17" s="5" t="str">
        <f>IFERROR(__xludf.DUMMYFUNCTION("""COMPUTED_VALUE"""),"https://docs.google.com/spreadsheets/d/12U4iQOYxf1l3qtvmrozU7f16TdUOnK7TQ29Hl9Oc_k8/edit?pli=1#gid=0")</f>
        <v>https://docs.google.com/spreadsheets/d/12U4iQOYxf1l3qtvmrozU7f16TdUOnK7TQ29Hl9Oc_k8/edit?pli=1#gid=0</v>
      </c>
    </row>
    <row r="18">
      <c r="A18" s="3">
        <f>IFERROR(__xludf.DUMMYFUNCTION("""COMPUTED_VALUE"""),45146.0)</f>
        <v>45146</v>
      </c>
      <c r="B18" s="4" t="str">
        <f>IFERROR(__xludf.DUMMYFUNCTION("""COMPUTED_VALUE"""),"89% of the APAC population has faced internet restrictions")</f>
        <v>89% of the APAC population has faced internet restrictions</v>
      </c>
      <c r="C18" s="4" t="str">
        <f>IFERROR(__xludf.DUMMYFUNCTION("""COMPUTED_VALUE"""),"28 APAC countries and territories have imposed internet restrictions since 2015")</f>
        <v>28 APAC countries and territories have imposed internet restrictions since 2015</v>
      </c>
      <c r="D18" s="5" t="str">
        <f>IFERROR(__xludf.DUMMYFUNCTION("""COMPUTED_VALUE"""),"https://surfshark.com/research/chart/internet-restrictions-apac")</f>
        <v>https://surfshark.com/research/chart/internet-restrictions-apac</v>
      </c>
      <c r="E18" s="5" t="str">
        <f>IFERROR(__xludf.DUMMYFUNCTION("""COMPUTED_VALUE"""),"https://docs.google.com/spreadsheets/d/12U4iQOYxf1l3qtvmrozU7f16TdUOnK7TQ29Hl9Oc_k8/edit?pli=1#gid=733875729")</f>
        <v>https://docs.google.com/spreadsheets/d/12U4iQOYxf1l3qtvmrozU7f16TdUOnK7TQ29Hl9Oc_k8/edit?pli=1#gid=733875729</v>
      </c>
    </row>
    <row r="19">
      <c r="A19" s="3">
        <f>IFERROR(__xludf.DUMMYFUNCTION("""COMPUTED_VALUE"""),45154.0)</f>
        <v>45154</v>
      </c>
      <c r="B19" s="4" t="str">
        <f>IFERROR(__xludf.DUMMYFUNCTION("""COMPUTED_VALUE"""),"Health data breaches have been rising in the US")</f>
        <v>Health data breaches have been rising in the US</v>
      </c>
      <c r="C19" s="4" t="str">
        <f>IFERROR(__xludf.DUMMYFUNCTION("""COMPUTED_VALUE"""),"Since 2009, there have been over 5.5k health data breach reports")</f>
        <v>Since 2009, there have been over 5.5k health data breach reports</v>
      </c>
      <c r="D19" s="5" t="str">
        <f>IFERROR(__xludf.DUMMYFUNCTION("""COMPUTED_VALUE"""),"https://surfshark.com/research/chart/health-data-breaches")</f>
        <v>https://surfshark.com/research/chart/health-data-breaches</v>
      </c>
      <c r="E19" s="5" t="str">
        <f>IFERROR(__xludf.DUMMYFUNCTION("""COMPUTED_VALUE"""),"https://docs.google.com/spreadsheets/d/12U4iQOYxf1l3qtvmrozU7f16TdUOnK7TQ29Hl9Oc_k8/edit?pli=1#gid=605400112")</f>
        <v>https://docs.google.com/spreadsheets/d/12U4iQOYxf1l3qtvmrozU7f16TdUOnK7TQ29Hl9Oc_k8/edit?pli=1#gid=605400112</v>
      </c>
    </row>
    <row r="20">
      <c r="A20" s="3">
        <f>IFERROR(__xludf.DUMMYFUNCTION("""COMPUTED_VALUE"""),45160.0)</f>
        <v>45160</v>
      </c>
      <c r="B20" s="4" t="str">
        <f>IFERROR(__xludf.DUMMYFUNCTION("""COMPUTED_VALUE"""),"What digital footprints are generated when using apps?")</f>
        <v>What digital footprints are generated when using apps?</v>
      </c>
      <c r="C20" s="4" t="str">
        <f>IFERROR(__xludf.DUMMYFUNCTION("""COMPUTED_VALUE"""),"An average smartphone user generates up to 188 digital
footprints per day by using just 9 apps")</f>
        <v>An average smartphone user generates up to 188 digital
footprints per day by using just 9 apps</v>
      </c>
      <c r="D20" s="5" t="str">
        <f>IFERROR(__xludf.DUMMYFUNCTION("""COMPUTED_VALUE"""),"https://surfshark.com/research/chart/digital-footprints-via-apps")</f>
        <v>https://surfshark.com/research/chart/digital-footprints-via-apps</v>
      </c>
      <c r="E20" s="5" t="str">
        <f>IFERROR(__xludf.DUMMYFUNCTION("""COMPUTED_VALUE"""),"https://docs.google.com/spreadsheets/d/12U4iQOYxf1l3qtvmrozU7f16TdUOnK7TQ29Hl9Oc_k8/edit?pli=1#gid=1696627669")</f>
        <v>https://docs.google.com/spreadsheets/d/12U4iQOYxf1l3qtvmrozU7f16TdUOnK7TQ29Hl9Oc_k8/edit?pli=1#gid=1696627669</v>
      </c>
    </row>
    <row r="21">
      <c r="A21" s="7">
        <f>IFERROR(__xludf.DUMMYFUNCTION("""COMPUTED_VALUE"""),45167.0)</f>
        <v>45167</v>
      </c>
      <c r="B21" s="4" t="str">
        <f>IFERROR(__xludf.DUMMYFUNCTION("""COMPUTED_VALUE"""),"Top countries in digital quality of life in the past 3 years")</f>
        <v>Top countries in digital quality of life in the past 3 years</v>
      </c>
      <c r="C21" s="4" t="str">
        <f>IFERROR(__xludf.DUMMYFUNCTION("""COMPUTED_VALUE"""),"Denmark has been in the top 3 countries for digital wellbeing over the past 3 years")</f>
        <v>Denmark has been in the top 3 countries for digital wellbeing over the past 3 years</v>
      </c>
      <c r="D21" s="5" t="str">
        <f>IFERROR(__xludf.DUMMYFUNCTION("""COMPUTED_VALUE"""),"https://surfshark.com/research/chart/top-countries-dql")</f>
        <v>https://surfshark.com/research/chart/top-countries-dql</v>
      </c>
      <c r="E21" s="6"/>
    </row>
    <row r="22">
      <c r="A22" s="7">
        <f>IFERROR(__xludf.DUMMYFUNCTION("""COMPUTED_VALUE"""),45167.0)</f>
        <v>45167</v>
      </c>
      <c r="B22" s="4" t="str">
        <f>IFERROR(__xludf.DUMMYFUNCTION("""COMPUTED_VALUE"""),"US was hit the hardest by the Duolingo data leak")</f>
        <v>US was hit the hardest by the Duolingo data leak</v>
      </c>
      <c r="C22" s="4" t="str">
        <f>IFERROR(__xludf.DUMMYFUNCTION("""COMPUTED_VALUE"""),"The Duolingo data leak primarily impacted the United States, with nearly 1 million accounts compromised")</f>
        <v>The Duolingo data leak primarily impacted the United States, with nearly 1 million accounts compromised</v>
      </c>
      <c r="D22" s="5" t="str">
        <f>IFERROR(__xludf.DUMMYFUNCTION("""COMPUTED_VALUE"""),"https://surfshark.com/research/chart/duolingo-data-leak")</f>
        <v>https://surfshark.com/research/chart/duolingo-data-leak</v>
      </c>
      <c r="E22" s="5" t="str">
        <f>IFERROR(__xludf.DUMMYFUNCTION("""COMPUTED_VALUE"""),"https://docs.google.com/spreadsheets/d/12U4iQOYxf1l3qtvmrozU7f16TdUOnK7TQ29Hl9Oc_k8/edit?pli=1#gid=674384504")</f>
        <v>https://docs.google.com/spreadsheets/d/12U4iQOYxf1l3qtvmrozU7f16TdUOnK7TQ29Hl9Oc_k8/edit?pli=1#gid=674384504</v>
      </c>
    </row>
    <row r="23">
      <c r="A23" s="7">
        <f>IFERROR(__xludf.DUMMYFUNCTION("""COMPUTED_VALUE"""),45174.0)</f>
        <v>45174</v>
      </c>
      <c r="B23" s="4" t="str">
        <f>IFERROR(__xludf.DUMMYFUNCTION("""COMPUTED_VALUE"""),"North Americans are the most affected by password leaks")</f>
        <v>North Americans are the most affected by password leaks</v>
      </c>
      <c r="C23" s="4" t="str">
        <f>IFERROR(__xludf.DUMMYFUNCTION("""COMPUTED_VALUE"""),"North America leads with 3 passwords leaked per compromised email address")</f>
        <v>North America leads with 3 passwords leaked per compromised email address</v>
      </c>
      <c r="D23" s="5" t="str">
        <f>IFERROR(__xludf.DUMMYFUNCTION("""COMPUTED_VALUE"""),"https://surfshark.com/research/chart/leaked-passwords")</f>
        <v>https://surfshark.com/research/chart/leaked-passwords</v>
      </c>
      <c r="E23" s="5" t="str">
        <f>IFERROR(__xludf.DUMMYFUNCTION("""COMPUTED_VALUE"""),"https://docs.google.com/spreadsheets/d/12U4iQOYxf1l3qtvmrozU7f16TdUOnK7TQ29Hl9Oc_k8/edit?pli=1#gid=1564422559")</f>
        <v>https://docs.google.com/spreadsheets/d/12U4iQOYxf1l3qtvmrozU7f16TdUOnK7TQ29Hl9Oc_k8/edit?pli=1#gid=1564422559</v>
      </c>
    </row>
    <row r="24">
      <c r="A24" s="7">
        <f>IFERROR(__xludf.DUMMYFUNCTION("""COMPUTED_VALUE"""),45181.0)</f>
        <v>45181</v>
      </c>
      <c r="B24" s="4" t="str">
        <f>IFERROR(__xludf.DUMMYFUNCTION("""COMPUTED_VALUE"""),"Internet restrictions during African elections")</f>
        <v>Internet restrictions during African elections</v>
      </c>
      <c r="C24" s="4" t="str">
        <f>IFERROR(__xludf.DUMMYFUNCTION("""COMPUTED_VALUE"""),"20 out of 54 African countries have restricted the internet amid elections")</f>
        <v>20 out of 54 African countries have restricted the internet amid elections</v>
      </c>
      <c r="D24" s="5" t="str">
        <f>IFERROR(__xludf.DUMMYFUNCTION("""COMPUTED_VALUE"""),"https://surfshark.com/research/chart/internet-restrictions-african-elections")</f>
        <v>https://surfshark.com/research/chart/internet-restrictions-african-elections</v>
      </c>
      <c r="E24" s="5" t="str">
        <f>IFERROR(__xludf.DUMMYFUNCTION("""COMPUTED_VALUE"""),"https://docs.google.com/spreadsheets/d/12U4iQOYxf1l3qtvmrozU7f16TdUOnK7TQ29Hl9Oc_k8/edit?pli=1#gid=2001386978")</f>
        <v>https://docs.google.com/spreadsheets/d/12U4iQOYxf1l3qtvmrozU7f16TdUOnK7TQ29Hl9Oc_k8/edit?pli=1#gid=2001386978</v>
      </c>
    </row>
    <row r="25">
      <c r="A25" s="8">
        <f>IFERROR(__xludf.DUMMYFUNCTION("""COMPUTED_VALUE"""),45188.0)</f>
        <v>45188</v>
      </c>
      <c r="B25" s="4" t="str">
        <f>IFERROR(__xludf.DUMMYFUNCTION("""COMPUTED_VALUE"""),"Data-hungry language apps: who learns more, you or the app?")</f>
        <v>Data-hungry language apps: who learns more, you or the app?</v>
      </c>
      <c r="C25" s="4" t="str">
        <f>IFERROR(__xludf.DUMMYFUNCTION("""COMPUTED_VALUE"""),"Duolingo collects the most user data, while EWA - the least ")</f>
        <v>Duolingo collects the most user data, while EWA - the least </v>
      </c>
      <c r="D25" s="5" t="str">
        <f>IFERROR(__xludf.DUMMYFUNCTION("""COMPUTED_VALUE"""),"https://surfshark.com/research/chart/data-hungry-language-apps")</f>
        <v>https://surfshark.com/research/chart/data-hungry-language-apps</v>
      </c>
      <c r="E25" s="5" t="str">
        <f>IFERROR(__xludf.DUMMYFUNCTION("""COMPUTED_VALUE"""),"https://docs.google.com/spreadsheets/d/12U4iQOYxf1l3qtvmrozU7f16TdUOnK7TQ29Hl9Oc_k8/edit?pli=1#gid=1200275695")</f>
        <v>https://docs.google.com/spreadsheets/d/12U4iQOYxf1l3qtvmrozU7f16TdUOnK7TQ29Hl9Oc_k8/edit?pli=1#gid=1200275695</v>
      </c>
    </row>
    <row r="26">
      <c r="A26" s="8">
        <f>IFERROR(__xludf.DUMMYFUNCTION("""COMPUTED_VALUE"""),45195.0)</f>
        <v>45195</v>
      </c>
      <c r="B26" s="4" t="str">
        <f>IFERROR(__xludf.DUMMYFUNCTION("""COMPUTED_VALUE"""),"Facebook pages are the most delisted from Google Search")</f>
        <v>Facebook pages are the most delisted from Google Search</v>
      </c>
      <c r="C26" s="4" t="str">
        <f>IFERROR(__xludf.DUMMYFUNCTION("""COMPUTED_VALUE"""),"Close to 100k Facebook, Twitter, and YouTube pages have been delisted from Google using the “right to be forgotten")</f>
        <v>Close to 100k Facebook, Twitter, and YouTube pages have been delisted from Google using the “right to be forgotten</v>
      </c>
      <c r="D26" s="5" t="str">
        <f>IFERROR(__xludf.DUMMYFUNCTION("""COMPUTED_VALUE"""),"https://surfshark.com/research/chart/top-delisted-webpages")</f>
        <v>https://surfshark.com/research/chart/top-delisted-webpages</v>
      </c>
      <c r="E26" s="5" t="str">
        <f>IFERROR(__xludf.DUMMYFUNCTION("""COMPUTED_VALUE"""),"https://docs.google.com/spreadsheets/d/12U4iQOYxf1l3qtvmrozU7f16TdUOnK7TQ29Hl9Oc_k8/edit?pli=1#gid=1321403812")</f>
        <v>https://docs.google.com/spreadsheets/d/12U4iQOYxf1l3qtvmrozU7f16TdUOnK7TQ29Hl9Oc_k8/edit?pli=1#gid=1321403812</v>
      </c>
    </row>
    <row r="27">
      <c r="A27" s="8">
        <f>IFERROR(__xludf.DUMMYFUNCTION("""COMPUTED_VALUE"""),45202.0)</f>
        <v>45202</v>
      </c>
      <c r="B27" s="4" t="str">
        <f>IFERROR(__xludf.DUMMYFUNCTION("""COMPUTED_VALUE"""),"43% of countries are left behind in e-infrastructure")</f>
        <v>43% of countries are left behind in e-infrastructure</v>
      </c>
      <c r="C27" s="4" t="str">
        <f>IFERROR(__xludf.DUMMYFUNCTION("""COMPUTED_VALUE"""),"52 out of 121 analyzed countries have poor electronic infrastructure")</f>
        <v>52 out of 121 analyzed countries have poor electronic infrastructure</v>
      </c>
      <c r="D27" s="5" t="str">
        <f>IFERROR(__xludf.DUMMYFUNCTION("""COMPUTED_VALUE"""),"https://surfshark.com/research/chart/global-e-infrastructure")</f>
        <v>https://surfshark.com/research/chart/global-e-infrastructure</v>
      </c>
      <c r="E27" s="5" t="str">
        <f>IFERROR(__xludf.DUMMYFUNCTION("""COMPUTED_VALUE"""),"https://docs.google.com/spreadsheets/d/1mnhKsjsaTdKuXlhLL7NaQbBKO4b-EqjukUa8Lt3EUK8/edit#gid=1908167878")</f>
        <v>https://docs.google.com/spreadsheets/d/1mnhKsjsaTdKuXlhLL7NaQbBKO4b-EqjukUa8Lt3EUK8/edit#gid=1908167878</v>
      </c>
    </row>
    <row r="28">
      <c r="A28" s="3">
        <f>IFERROR(__xludf.DUMMYFUNCTION("""COMPUTED_VALUE"""),45209.0)</f>
        <v>45209</v>
      </c>
      <c r="B28" s="4" t="str">
        <f>IFERROR(__xludf.DUMMYFUNCTION("""COMPUTED_VALUE"""),"Global internet divide in 2023")</f>
        <v>Global internet divide in 2023</v>
      </c>
      <c r="C28" s="4" t="str">
        <f>IFERROR(__xludf.DUMMYFUNCTION("""COMPUTED_VALUE"""),"In lower-income countries, people work more to afford slower internet")</f>
        <v>In lower-income countries, people work more to afford slower internet</v>
      </c>
      <c r="D28" s="5" t="str">
        <f>IFERROR(__xludf.DUMMYFUNCTION("""COMPUTED_VALUE"""),"https://surfshark.com/research/chart/internet-divide-2023")</f>
        <v>https://surfshark.com/research/chart/internet-divide-2023</v>
      </c>
      <c r="E28" s="5" t="str">
        <f>IFERROR(__xludf.DUMMYFUNCTION("""COMPUTED_VALUE"""),"https://docs.google.com/spreadsheets/d/1mnhKsjsaTdKuXlhLL7NaQbBKO4b-EqjukUa8Lt3EUK8/edit#gid=1895801076")</f>
        <v>https://docs.google.com/spreadsheets/d/1mnhKsjsaTdKuXlhLL7NaQbBKO4b-EqjukUa8Lt3EUK8/edit#gid=1895801076</v>
      </c>
    </row>
    <row r="29">
      <c r="A29" s="3">
        <f>IFERROR(__xludf.DUMMYFUNCTION("""COMPUTED_VALUE"""),45216.0)</f>
        <v>45216</v>
      </c>
      <c r="B29" s="4" t="str">
        <f>IFERROR(__xludf.DUMMYFUNCTION("""COMPUTED_VALUE"""),"Unmasking 2022's US social engineering scam toll")</f>
        <v>Unmasking 2022's US social engineering scam toll</v>
      </c>
      <c r="C29" s="4" t="str">
        <f>IFERROR(__xludf.DUMMYFUNCTION("""COMPUTED_VALUE"""),"In 2022, Americans lost over $8 billion to social engineering scams")</f>
        <v>In 2022, Americans lost over $8 billion to social engineering scams</v>
      </c>
      <c r="D29" s="5" t="str">
        <f>IFERROR(__xludf.DUMMYFUNCTION("""COMPUTED_VALUE"""),"https://surfshark.com/research/chart/social-engineering-scams-us")</f>
        <v>https://surfshark.com/research/chart/social-engineering-scams-us</v>
      </c>
      <c r="E29" s="5" t="str">
        <f>IFERROR(__xludf.DUMMYFUNCTION("""COMPUTED_VALUE"""),"https://docs.google.com/spreadsheets/d/1mnhKsjsaTdKuXlhLL7NaQbBKO4b-EqjukUa8Lt3EUK8/edit#gid=328297528")</f>
        <v>https://docs.google.com/spreadsheets/d/1mnhKsjsaTdKuXlhLL7NaQbBKO4b-EqjukUa8Lt3EUK8/edit#gid=328297528</v>
      </c>
    </row>
    <row r="30">
      <c r="A30" s="3">
        <f>IFERROR(__xludf.DUMMYFUNCTION("""COMPUTED_VALUE"""),45223.0)</f>
        <v>45223</v>
      </c>
      <c r="B30" s="4" t="str">
        <f>IFERROR(__xludf.DUMMYFUNCTION("""COMPUTED_VALUE"""),"Data protection levels in democracies and autocracies")</f>
        <v>Data protection levels in democracies and autocracies</v>
      </c>
      <c r="C30" s="4" t="str">
        <f>IFERROR(__xludf.DUMMYFUNCTION("""COMPUTED_VALUE"""),"98% of autocratic countries don't protect their citizens' data")</f>
        <v>98% of autocratic countries don't protect their citizens' data</v>
      </c>
      <c r="D30" s="5" t="str">
        <f>IFERROR(__xludf.DUMMYFUNCTION("""COMPUTED_VALUE"""),"https://surfshark.com/research/chart/data-protection-democracies-autocracies")</f>
        <v>https://surfshark.com/research/chart/data-protection-democracies-autocracies</v>
      </c>
      <c r="E30" s="5" t="str">
        <f>IFERROR(__xludf.DUMMYFUNCTION("""COMPUTED_VALUE"""),"https://docs.google.com/spreadsheets/d/1mnhKsjsaTdKuXlhLL7NaQbBKO4b-EqjukUa8Lt3EUK8/edit#gid=1585910355")</f>
        <v>https://docs.google.com/spreadsheets/d/1mnhKsjsaTdKuXlhLL7NaQbBKO4b-EqjukUa8Lt3EUK8/edit#gid=1585910355</v>
      </c>
    </row>
    <row r="31">
      <c r="A31" s="3">
        <f>IFERROR(__xludf.DUMMYFUNCTION("""COMPUTED_VALUE"""),45229.0)</f>
        <v>45229</v>
      </c>
      <c r="B31" s="4" t="str">
        <f>IFERROR(__xludf.DUMMYFUNCTION("""COMPUTED_VALUE"""),"Shortcomings in countries with the best digital quality of life")</f>
        <v>Shortcomings in countries with the best digital quality of life</v>
      </c>
      <c r="C31" s="4" t="str">
        <f>IFERROR(__xludf.DUMMYFUNCTION("""COMPUTED_VALUE"""),"European countries with the best digital wellbeing tend to stagnate in internet speed improvement")</f>
        <v>European countries with the best digital wellbeing tend to stagnate in internet speed improvement</v>
      </c>
      <c r="D31" s="5" t="str">
        <f>IFERROR(__xludf.DUMMYFUNCTION("""COMPUTED_VALUE"""),"https://surfshark.com/research/chart/dql-2023-top-countries-weaknesses")</f>
        <v>https://surfshark.com/research/chart/dql-2023-top-countries-weaknesses</v>
      </c>
      <c r="E31" s="5" t="str">
        <f>IFERROR(__xludf.DUMMYFUNCTION("""COMPUTED_VALUE"""),"https://docs.google.com/spreadsheets/d/1mnhKsjsaTdKuXlhLL7NaQbBKO4b-EqjukUa8Lt3EUK8/edit#gid=1469754041")</f>
        <v>https://docs.google.com/spreadsheets/d/1mnhKsjsaTdKuXlhLL7NaQbBKO4b-EqjukUa8Lt3EUK8/edit#gid=1469754041</v>
      </c>
    </row>
    <row r="32">
      <c r="A32" s="3">
        <f>IFERROR(__xludf.DUMMYFUNCTION("""COMPUTED_VALUE"""),45237.0)</f>
        <v>45237</v>
      </c>
      <c r="B32" s="4" t="str">
        <f>IFERROR(__xludf.DUMMYFUNCTION("""COMPUTED_VALUE"""),"⅓ of social media's GDPR fines linked to children")</f>
        <v>⅓ of social media's GDPR fines linked to children</v>
      </c>
      <c r="C32" s="4" t="str">
        <f>IFERROR(__xludf.DUMMYFUNCTION("""COMPUTED_VALUE"""),"Most used social media platforms fined over €2.9 billion for GDPR breaches, out of which over €765 million was for mishandling of children's data")</f>
        <v>Most used social media platforms fined over €2.9 billion for GDPR breaches, out of which over €765 million was for mishandling of children's data</v>
      </c>
      <c r="D32" s="5" t="str">
        <f>IFERROR(__xludf.DUMMYFUNCTION("""COMPUTED_VALUE"""),"https://surfshark.com/research/chart/social-media-gdpr-fines")</f>
        <v>https://surfshark.com/research/chart/social-media-gdpr-fines</v>
      </c>
      <c r="E32" s="5" t="str">
        <f>IFERROR(__xludf.DUMMYFUNCTION("""COMPUTED_VALUE"""),"https://docs.google.com/spreadsheets/d/1mnhKsjsaTdKuXlhLL7NaQbBKO4b-EqjukUa8Lt3EUK8/edit#gid=791782433")</f>
        <v>https://docs.google.com/spreadsheets/d/1mnhKsjsaTdKuXlhLL7NaQbBKO4b-EqjukUa8Lt3EUK8/edit#gid=791782433</v>
      </c>
    </row>
    <row r="33">
      <c r="A33" s="3">
        <f>IFERROR(__xludf.DUMMYFUNCTION("""COMPUTED_VALUE"""),45244.0)</f>
        <v>45244</v>
      </c>
      <c r="B33" s="4" t="str">
        <f>IFERROR(__xludf.DUMMYFUNCTION("""COMPUTED_VALUE"""),"How much do crypto apps know about you?")</f>
        <v>How much do crypto apps know about you?</v>
      </c>
      <c r="C33" s="4" t="str">
        <f>IFERROR(__xludf.DUMMYFUNCTION("""COMPUTED_VALUE"""),"Robinhood collects the most user data, while Trust — the least")</f>
        <v>Robinhood collects the most user data, while Trust — the least</v>
      </c>
      <c r="D33" s="5" t="str">
        <f>IFERROR(__xludf.DUMMYFUNCTION("""COMPUTED_VALUE"""),"https://surfshark.com/research/chart/crypto-apps-data-collection")</f>
        <v>https://surfshark.com/research/chart/crypto-apps-data-collection</v>
      </c>
      <c r="E33" s="5" t="str">
        <f>IFERROR(__xludf.DUMMYFUNCTION("""COMPUTED_VALUE"""),"https://docs.google.com/spreadsheets/d/1mnhKsjsaTdKuXlhLL7NaQbBKO4b-EqjukUa8Lt3EUK8/edit#gid=1901945827")</f>
        <v>https://docs.google.com/spreadsheets/d/1mnhKsjsaTdKuXlhLL7NaQbBKO4b-EqjukUa8Lt3EUK8/edit#gid=1901945827</v>
      </c>
    </row>
    <row r="34">
      <c r="A34" s="3">
        <f>IFERROR(__xludf.DUMMYFUNCTION("""COMPUTED_VALUE"""),45253.0)</f>
        <v>45253</v>
      </c>
      <c r="B34" s="4" t="str">
        <f>IFERROR(__xludf.DUMMYFUNCTION("""COMPUTED_VALUE"""),"Meta's paid subscription — is it GDPR compliant?")</f>
        <v>Meta's paid subscription — is it GDPR compliant?</v>
      </c>
      <c r="C34" s="4" t="str">
        <f>IFERROR(__xludf.DUMMYFUNCTION("""COMPUTED_VALUE"""),"Overview of Meta's new paid subscription in relation to the GDPR")</f>
        <v>Overview of Meta's new paid subscription in relation to the GDPR</v>
      </c>
      <c r="D34" s="9" t="str">
        <f>IFERROR(__xludf.DUMMYFUNCTION("""COMPUTED_VALUE"""),"https://surfshark.com/research/chart/meta-paid-subscription-gdpr")</f>
        <v>https://surfshark.com/research/chart/meta-paid-subscription-gdpr</v>
      </c>
      <c r="E34" s="6"/>
    </row>
    <row r="35">
      <c r="A35" s="3">
        <f>IFERROR(__xludf.DUMMYFUNCTION("""COMPUTED_VALUE"""),45258.0)</f>
        <v>45258</v>
      </c>
      <c r="B35" s="4" t="str">
        <f>IFERROR(__xludf.DUMMYFUNCTION("""COMPUTED_VALUE"""),"Global social media restrictions by duration")</f>
        <v>Global social media restrictions by duration</v>
      </c>
      <c r="C35" s="4" t="str">
        <f>IFERROR(__xludf.DUMMYFUNCTION("""COMPUTED_VALUE"""),"1.55 billion people have been cut off from Western social media for over 5 years")</f>
        <v>1.55 billion people have been cut off from Western social media for over 5 years</v>
      </c>
      <c r="D35" s="5" t="str">
        <f>IFERROR(__xludf.DUMMYFUNCTION("""COMPUTED_VALUE"""),"https://surfshark.com/research/chart/social-media-restrictions-by-duration")</f>
        <v>https://surfshark.com/research/chart/social-media-restrictions-by-duration</v>
      </c>
      <c r="E35" s="5" t="str">
        <f>IFERROR(__xludf.DUMMYFUNCTION("""COMPUTED_VALUE"""),"https://docs.google.com/spreadsheets/d/1mnhKsjsaTdKuXlhLL7NaQbBKO4b-EqjukUa8Lt3EUK8/edit#gid=1503639990")</f>
        <v>https://docs.google.com/spreadsheets/d/1mnhKsjsaTdKuXlhLL7NaQbBKO4b-EqjukUa8Lt3EUK8/edit#gid=1503639990</v>
      </c>
    </row>
    <row r="36">
      <c r="A36" s="3">
        <f>IFERROR(__xludf.DUMMYFUNCTION("""COMPUTED_VALUE"""),45265.0)</f>
        <v>45265</v>
      </c>
      <c r="B36" s="4" t="str">
        <f>IFERROR(__xludf.DUMMYFUNCTION("""COMPUTED_VALUE"""),"$1.45B lost over Online Shopping Fraud in 5 years")</f>
        <v>$1.45B lost over Online Shopping Fraud in 5 years</v>
      </c>
      <c r="C36" s="4" t="str">
        <f>IFERROR(__xludf.DUMMYFUNCTION("""COMPUTED_VALUE"""),"1.7 million Online Shopping Fraud cases reported in the US in less than 5 years")</f>
        <v>1.7 million Online Shopping Fraud cases reported in the US in less than 5 years</v>
      </c>
      <c r="D36" s="5" t="str">
        <f>IFERROR(__xludf.DUMMYFUNCTION("""COMPUTED_VALUE"""),"https://surfshark.com/research/chart/online-shopping-fraud")</f>
        <v>https://surfshark.com/research/chart/online-shopping-fraud</v>
      </c>
      <c r="E36" s="5" t="str">
        <f>IFERROR(__xludf.DUMMYFUNCTION("""COMPUTED_VALUE"""),"https://docs.google.com/spreadsheets/d/1mnhKsjsaTdKuXlhLL7NaQbBKO4b-EqjukUa8Lt3EUK8/edit#gid=71831689")</f>
        <v>https://docs.google.com/spreadsheets/d/1mnhKsjsaTdKuXlhLL7NaQbBKO4b-EqjukUa8Lt3EUK8/edit#gid=71831689</v>
      </c>
    </row>
    <row r="37">
      <c r="A37" s="3">
        <f>IFERROR(__xludf.DUMMYFUNCTION("""COMPUTED_VALUE"""),45272.0)</f>
        <v>45272</v>
      </c>
      <c r="B37" s="4" t="str">
        <f>IFERROR(__xludf.DUMMYFUNCTION("""COMPUTED_VALUE"""),"Holiday shopping alert: retail breaches exposed")</f>
        <v>Holiday shopping alert: retail breaches exposed</v>
      </c>
      <c r="C37" s="4" t="str">
        <f>IFERROR(__xludf.DUMMYFUNCTION("""COMPUTED_VALUE"""),"280 million email accounts compromised in retail breaches since 2020")</f>
        <v>280 million email accounts compromised in retail breaches since 2020</v>
      </c>
      <c r="D37" s="5" t="str">
        <f>IFERROR(__xludf.DUMMYFUNCTION("""COMPUTED_VALUE"""),"https://surfshark.com/research/chart/retail-breaches-exposed")</f>
        <v>https://surfshark.com/research/chart/retail-breaches-exposed</v>
      </c>
      <c r="E37" s="5" t="str">
        <f>IFERROR(__xludf.DUMMYFUNCTION("""COMPUTED_VALUE"""),"https://docs.google.com/spreadsheets/d/1mnhKsjsaTdKuXlhLL7NaQbBKO4b-EqjukUa8Lt3EUK8/edit#gid=676632067")</f>
        <v>https://docs.google.com/spreadsheets/d/1mnhKsjsaTdKuXlhLL7NaQbBKO4b-EqjukUa8Lt3EUK8/edit#gid=676632067</v>
      </c>
    </row>
    <row r="38">
      <c r="A38" s="3">
        <f>IFERROR(__xludf.DUMMYFUNCTION("""COMPUTED_VALUE"""),45279.0)</f>
        <v>45279</v>
      </c>
      <c r="B38" s="4" t="str">
        <f>IFERROR(__xludf.DUMMYFUNCTION("""COMPUTED_VALUE"""),"Holiday tech gifts: how data-hungry are they?")</f>
        <v>Holiday tech gifts: how data-hungry are they?</v>
      </c>
      <c r="C38" s="4" t="str">
        <f>IFERROR(__xludf.DUMMYFUNCTION("""COMPUTED_VALUE"""),"Smart-watch apps collect the most user-linked data among the tech gifts")</f>
        <v>Smart-watch apps collect the most user-linked data among the tech gifts</v>
      </c>
      <c r="D38" s="5" t="str">
        <f>IFERROR(__xludf.DUMMYFUNCTION("""COMPUTED_VALUE"""),"https://surfshark.com/research/chart/holiday-tech-gifts")</f>
        <v>https://surfshark.com/research/chart/holiday-tech-gifts</v>
      </c>
      <c r="E38" s="5" t="str">
        <f>IFERROR(__xludf.DUMMYFUNCTION("""COMPUTED_VALUE"""),"https://docs.google.com/spreadsheets/d/1mnhKsjsaTdKuXlhLL7NaQbBKO4b-EqjukUa8Lt3EUK8/edit#gid=833595606")</f>
        <v>https://docs.google.com/spreadsheets/d/1mnhKsjsaTdKuXlhLL7NaQbBKO4b-EqjukUa8Lt3EUK8/edit#gid=833595606</v>
      </c>
    </row>
    <row r="39">
      <c r="A39" s="3">
        <f>IFERROR(__xludf.DUMMYFUNCTION("""COMPUTED_VALUE"""),45287.0)</f>
        <v>45287</v>
      </c>
      <c r="B39" s="4" t="str">
        <f>IFERROR(__xludf.DUMMYFUNCTION("""COMPUTED_VALUE"""),"Digital freedom wrapped: here’s what happened in 2023")</f>
        <v>Digital freedom wrapped: here’s what happened in 2023</v>
      </c>
      <c r="C39" s="4" t="str">
        <f>IFERROR(__xludf.DUMMYFUNCTION("""COMPUTED_VALUE"""),"Digital freedom in 2023: a year of challenges")</f>
        <v>Digital freedom in 2023: a year of challenges</v>
      </c>
      <c r="D39" s="5" t="str">
        <f>IFERROR(__xludf.DUMMYFUNCTION("""COMPUTED_VALUE"""),"https://surfshark.com/research/chart/digital-freedom-wrapped-2023")</f>
        <v>https://surfshark.com/research/chart/digital-freedom-wrapped-2023</v>
      </c>
      <c r="E39" s="6"/>
    </row>
    <row r="40">
      <c r="A40" s="3">
        <f>IFERROR(__xludf.DUMMYFUNCTION("""COMPUTED_VALUE"""),45293.0)</f>
        <v>45293</v>
      </c>
      <c r="B40" s="4" t="str">
        <f>IFERROR(__xludf.DUMMYFUNCTION("""COMPUTED_VALUE"""),"2023 cybersecurity wrapped: from crypto scams to AI risks")</f>
        <v>2023 cybersecurity wrapped: from crypto scams to AI risks</v>
      </c>
      <c r="C40" s="4" t="str">
        <f>IFERROR(__xludf.DUMMYFUNCTION("""COMPUTED_VALUE"""),"Cybersecurity challenges in 2023")</f>
        <v>Cybersecurity challenges in 2023</v>
      </c>
      <c r="D40" s="5" t="str">
        <f>IFERROR(__xludf.DUMMYFUNCTION("""COMPUTED_VALUE"""),"https://surfshark.com/research/chart/cybersecurity-wrapped-2023")</f>
        <v>https://surfshark.com/research/chart/cybersecurity-wrapped-2023</v>
      </c>
      <c r="E40" s="6"/>
    </row>
    <row r="41">
      <c r="A41" s="3">
        <f>IFERROR(__xludf.DUMMYFUNCTION("""COMPUTED_VALUE"""),45300.0)</f>
        <v>45300</v>
      </c>
      <c r="B41" s="4" t="str">
        <f>IFERROR(__xludf.DUMMYFUNCTION("""COMPUTED_VALUE"""),"How common are internet restrictions during elections?")</f>
        <v>How common are internet restrictions during elections?</v>
      </c>
      <c r="C41" s="4" t="str">
        <f>IFERROR(__xludf.DUMMYFUNCTION("""COMPUTED_VALUE"""),"One in eight countries to hold elections in 2024 has restricted internet access amid elections since 2015")</f>
        <v>One in eight countries to hold elections in 2024 has restricted internet access amid elections since 2015</v>
      </c>
      <c r="D41" s="5" t="str">
        <f>IFERROR(__xludf.DUMMYFUNCTION("""COMPUTED_VALUE"""),"https://surfshark.com/research/chart/elections-vs-internet-restrictions")</f>
        <v>https://surfshark.com/research/chart/elections-vs-internet-restrictions</v>
      </c>
      <c r="E41" s="5" t="str">
        <f>IFERROR(__xludf.DUMMYFUNCTION("""COMPUTED_VALUE"""),"https://docs.google.com/spreadsheets/d/1Lfs7fGsduihS31GynnR-6itRxnjhDIcU3EA2iaAlYnI/edit#gid=1629916641")</f>
        <v>https://docs.google.com/spreadsheets/d/1Lfs7fGsduihS31GynnR-6itRxnjhDIcU3EA2iaAlYnI/edit#gid=1629916641</v>
      </c>
    </row>
    <row r="42">
      <c r="A42" s="3">
        <f>IFERROR(__xludf.DUMMYFUNCTION("""COMPUTED_VALUE"""),45307.0)</f>
        <v>45307</v>
      </c>
      <c r="B42" s="4" t="str">
        <f>IFERROR(__xludf.DUMMYFUNCTION("""COMPUTED_VALUE"""),"Credit card fraud: leading issue in US identity theft")</f>
        <v>Credit card fraud: leading issue in US identity theft</v>
      </c>
      <c r="C42" s="4" t="str">
        <f>IFERROR(__xludf.DUMMYFUNCTION("""COMPUTED_VALUE"""),"Over 1.5M  credit card fraud reports submitted in the United States since 2020")</f>
        <v>Over 1.5M  credit card fraud reports submitted in the United States since 2020</v>
      </c>
      <c r="D42" s="5" t="str">
        <f>IFERROR(__xludf.DUMMYFUNCTION("""COMPUTED_VALUE"""),"https://surfshark.com/research/chart/credit-card-fraud-in-US")</f>
        <v>https://surfshark.com/research/chart/credit-card-fraud-in-US</v>
      </c>
      <c r="E42" s="5" t="str">
        <f>IFERROR(__xludf.DUMMYFUNCTION("""COMPUTED_VALUE"""),"https://docs.google.com/spreadsheets/d/1Lfs7fGsduihS31GynnR-6itRxnjhDIcU3EA2iaAlYnI/edit#gid=872669468")</f>
        <v>https://docs.google.com/spreadsheets/d/1Lfs7fGsduihS31GynnR-6itRxnjhDIcU3EA2iaAlYnI/edit#gid=872669468</v>
      </c>
    </row>
    <row r="43">
      <c r="A43" s="3">
        <f>IFERROR(__xludf.DUMMYFUNCTION("""COMPUTED_VALUE"""),45314.0)</f>
        <v>45314</v>
      </c>
      <c r="B43" s="4" t="str">
        <f>IFERROR(__xludf.DUMMYFUNCTION("""COMPUTED_VALUE"""),"2023 was a record year for AI incidents")</f>
        <v>2023 was a record year for AI incidents</v>
      </c>
      <c r="C43" s="4" t="str">
        <f>IFERROR(__xludf.DUMMYFUNCTION("""COMPUTED_VALUE"""),"Number of AI incidents in 2023 surged by 30% compared to 2022")</f>
        <v>Number of AI incidents in 2023 surged by 30% compared to 2022</v>
      </c>
      <c r="D43" s="5" t="str">
        <f>IFERROR(__xludf.DUMMYFUNCTION("""COMPUTED_VALUE"""),"https://surfshark.com/research/chart/ai-incidents-2023")</f>
        <v>https://surfshark.com/research/chart/ai-incidents-2023</v>
      </c>
      <c r="E43" s="5" t="str">
        <f>IFERROR(__xludf.DUMMYFUNCTION("""COMPUTED_VALUE"""),"https://docs.google.com/spreadsheets/d/1Lfs7fGsduihS31GynnR-6itRxnjhDIcU3EA2iaAlYnI/edit#gid=207710828")</f>
        <v>https://docs.google.com/spreadsheets/d/1Lfs7fGsduihS31GynnR-6itRxnjhDIcU3EA2iaAlYnI/edit#gid=207710828</v>
      </c>
    </row>
    <row r="44">
      <c r="A44" s="3">
        <f>IFERROR(__xludf.DUMMYFUNCTION("""COMPUTED_VALUE"""),45321.0)</f>
        <v>45321</v>
      </c>
      <c r="B44" s="4" t="str">
        <f>IFERROR(__xludf.DUMMYFUNCTION("""COMPUTED_VALUE"""),"Ethical hacking in 2023: $450K+ in rewards, 835 bugs found")</f>
        <v>Ethical hacking in 2023: $450K+ in rewards, 835 bugs found</v>
      </c>
      <c r="C44" s="4" t="str">
        <f>IFERROR(__xludf.DUMMYFUNCTION("""COMPUTED_VALUE"""),"835 software security vulnerabilities were reported in 2023")</f>
        <v>835 software security vulnerabilities were reported in 2023</v>
      </c>
      <c r="D44" s="5" t="str">
        <f>IFERROR(__xludf.DUMMYFUNCTION("""COMPUTED_VALUE"""),"https://surfshark.com/research/chart/ethical-hacking-in-2023")</f>
        <v>https://surfshark.com/research/chart/ethical-hacking-in-2023</v>
      </c>
      <c r="E44" s="5" t="str">
        <f>IFERROR(__xludf.DUMMYFUNCTION("""COMPUTED_VALUE"""),"https://docs.google.com/spreadsheets/d/1Lfs7fGsduihS31GynnR-6itRxnjhDIcU3EA2iaAlYnI/edit#gid=773012012")</f>
        <v>https://docs.google.com/spreadsheets/d/1Lfs7fGsduihS31GynnR-6itRxnjhDIcU3EA2iaAlYnI/edit#gid=773012012</v>
      </c>
    </row>
    <row r="45">
      <c r="A45" s="3">
        <f>IFERROR(__xludf.DUMMYFUNCTION("""COMPUTED_VALUE"""),45328.0)</f>
        <v>45328</v>
      </c>
      <c r="B45" s="4" t="str">
        <f>IFERROR(__xludf.DUMMYFUNCTION("""COMPUTED_VALUE"""),"High digital life quality doesn't always shield kids online")</f>
        <v>High digital life quality doesn't always shield kids online</v>
      </c>
      <c r="C45" s="4" t="str">
        <f>IFERROR(__xludf.DUMMYFUNCTION("""COMPUTED_VALUE"""),"19 countries with high digital quality of life struggle to protect children online")</f>
        <v>19 countries with high digital quality of life struggle to protect children online</v>
      </c>
      <c r="D45" s="5" t="str">
        <f>IFERROR(__xludf.DUMMYFUNCTION("""COMPUTED_VALUE"""),"https://surfshark.com/research/chart/childrens-safety-online")</f>
        <v>https://surfshark.com/research/chart/childrens-safety-online</v>
      </c>
      <c r="E45" s="5" t="str">
        <f>IFERROR(__xludf.DUMMYFUNCTION("""COMPUTED_VALUE"""),"https://docs.google.com/spreadsheets/d/1Lfs7fGsduihS31GynnR-6itRxnjhDIcU3EA2iaAlYnI/edit#gid=1881234299")</f>
        <v>https://docs.google.com/spreadsheets/d/1Lfs7fGsduihS31GynnR-6itRxnjhDIcU3EA2iaAlYnI/edit#gid=1881234299</v>
      </c>
    </row>
    <row r="46">
      <c r="A46" s="3">
        <f>IFERROR(__xludf.DUMMYFUNCTION("""COMPUTED_VALUE"""),45335.0)</f>
        <v>45335</v>
      </c>
      <c r="B46" s="4" t="str">
        <f>IFERROR(__xludf.DUMMYFUNCTION("""COMPUTED_VALUE"""),"Dangerous permissions in adult toy apps")</f>
        <v>Dangerous permissions in adult toy apps</v>
      </c>
      <c r="C46" s="4" t="str">
        <f>IFERROR(__xludf.DUMMYFUNCTION("""COMPUTED_VALUE"""),"The investigated adult toy apps require 13 different types of permissions deemed dangerous")</f>
        <v>The investigated adult toy apps require 13 different types of permissions deemed dangerous</v>
      </c>
      <c r="D46" s="5" t="str">
        <f>IFERROR(__xludf.DUMMYFUNCTION("""COMPUTED_VALUE"""),"https://surfshark.com/research/chart/adult-toys")</f>
        <v>https://surfshark.com/research/chart/adult-toys</v>
      </c>
      <c r="E46" s="5" t="str">
        <f>IFERROR(__xludf.DUMMYFUNCTION("""COMPUTED_VALUE"""),"https://docs.google.com/spreadsheets/d/1Lfs7fGsduihS31GynnR-6itRxnjhDIcU3EA2iaAlYnI/edit#gid=1321052872")</f>
        <v>https://docs.google.com/spreadsheets/d/1Lfs7fGsduihS31GynnR-6itRxnjhDIcU3EA2iaAlYnI/edit#gid=1321052872</v>
      </c>
    </row>
    <row r="47">
      <c r="A47" s="3">
        <f>IFERROR(__xludf.DUMMYFUNCTION("""COMPUTED_VALUE"""),45342.0)</f>
        <v>45342</v>
      </c>
      <c r="B47" s="4" t="str">
        <f>IFERROR(__xludf.DUMMYFUNCTION("""COMPUTED_VALUE"""),"Data of almost 80k Facebook users leaked")</f>
        <v>Data of almost 80k Facebook users leaked</v>
      </c>
      <c r="C47" s="4" t="str">
        <f>IFERROR(__xludf.DUMMYFUNCTION("""COMPUTED_VALUE"""),"Facebook data leak has exposed email addresses of almost 80k users")</f>
        <v>Facebook data leak has exposed email addresses of almost 80k users</v>
      </c>
      <c r="D47" s="5" t="str">
        <f>IFERROR(__xludf.DUMMYFUNCTION("""COMPUTED_VALUE"""),"https://surfshark.com/research/chart/facebook-data-leak")</f>
        <v>https://surfshark.com/research/chart/facebook-data-leak</v>
      </c>
      <c r="E47" s="5" t="str">
        <f>IFERROR(__xludf.DUMMYFUNCTION("""COMPUTED_VALUE"""),"https://docs.google.com/spreadsheets/d/1Lfs7fGsduihS31GynnR-6itRxnjhDIcU3EA2iaAlYnI/edit#gid=1508175364")</f>
        <v>https://docs.google.com/spreadsheets/d/1Lfs7fGsduihS31GynnR-6itRxnjhDIcU3EA2iaAlYnI/edit#gid=1508175364</v>
      </c>
    </row>
    <row r="48">
      <c r="A48" s="3">
        <f>IFERROR(__xludf.DUMMYFUNCTION("""COMPUTED_VALUE"""),45342.0)</f>
        <v>45342</v>
      </c>
      <c r="B48" s="4" t="str">
        <f>IFERROR(__xludf.DUMMYFUNCTION("""COMPUTED_VALUE"""),"$737M lost to fake job offers in the US since 2019")</f>
        <v>$737M lost to fake job offers in the US since 2019</v>
      </c>
      <c r="C48" s="4" t="str">
        <f>IFERROR(__xludf.DUMMYFUNCTION("""COMPUTED_VALUE"""),"Nearly 300K job scams with over $737M in losses were reported in the United States since 2019")</f>
        <v>Nearly 300K job scams with over $737M in losses were reported in the United States since 2019</v>
      </c>
      <c r="D48" s="5" t="str">
        <f>IFERROR(__xludf.DUMMYFUNCTION("""COMPUTED_VALUE"""),"https://surfshark.com/research/chart/job-scams")</f>
        <v>https://surfshark.com/research/chart/job-scams</v>
      </c>
      <c r="E48" s="5" t="str">
        <f>IFERROR(__xludf.DUMMYFUNCTION("""COMPUTED_VALUE"""),"https://docs.google.com/spreadsheets/d/1Lfs7fGsduihS31GynnR-6itRxnjhDIcU3EA2iaAlYnI/edit#gid=1267180901")</f>
        <v>https://docs.google.com/spreadsheets/d/1Lfs7fGsduihS31GynnR-6itRxnjhDIcU3EA2iaAlYnI/edit#gid=1267180901</v>
      </c>
    </row>
    <row r="49">
      <c r="A49" s="3">
        <f>IFERROR(__xludf.DUMMYFUNCTION("""COMPUTED_VALUE"""),45349.0)</f>
        <v>45349</v>
      </c>
      <c r="B49" s="4" t="str">
        <f>IFERROR(__xludf.DUMMYFUNCTION("""COMPUTED_VALUE"""),"Americans lost $1.56B in crypto to fraud in 2023")</f>
        <v>Americans lost $1.56B in crypto to fraud in 2023</v>
      </c>
      <c r="C49" s="4" t="str">
        <f>IFERROR(__xludf.DUMMYFUNCTION("""COMPUTED_VALUE"""),"$1.56 B in cryptocurrency was lost to fraud in the United States in 2023")</f>
        <v>$1.56 B in cryptocurrency was lost to fraud in the United States in 2023</v>
      </c>
      <c r="D49" s="5" t="str">
        <f>IFERROR(__xludf.DUMMYFUNCTION("""COMPUTED_VALUE"""),"https://surfshark.com/research/chart/crypto-scams-2023")</f>
        <v>https://surfshark.com/research/chart/crypto-scams-2023</v>
      </c>
      <c r="E49" s="5" t="str">
        <f>IFERROR(__xludf.DUMMYFUNCTION("""COMPUTED_VALUE"""),"https://docs.google.com/spreadsheets/d/1Lfs7fGsduihS31GynnR-6itRxnjhDIcU3EA2iaAlYnI/edit#gid=1237816860")</f>
        <v>https://docs.google.com/spreadsheets/d/1Lfs7fGsduihS31GynnR-6itRxnjhDIcU3EA2iaAlYnI/edit#gid=1237816860</v>
      </c>
    </row>
    <row r="50">
      <c r="A50" s="3">
        <f>IFERROR(__xludf.DUMMYFUNCTION("""COMPUTED_VALUE"""),45356.0)</f>
        <v>45356</v>
      </c>
      <c r="B50" s="4" t="str">
        <f>IFERROR(__xludf.DUMMYFUNCTION("""COMPUTED_VALUE"""),"Women dominate science and tech sectors in most of the EU")</f>
        <v>Women dominate science and tech sectors in most of the EU</v>
      </c>
      <c r="C50" s="4" t="str">
        <f>IFERROR(__xludf.DUMMYFUNCTION("""COMPUTED_VALUE"""),"In 12 EU countries with notable female presence in science and tech, overall gender equality is below average")</f>
        <v>In 12 EU countries with notable female presence in science and tech, overall gender equality is below average</v>
      </c>
      <c r="D50" s="5" t="str">
        <f>IFERROR(__xludf.DUMMYFUNCTION("""COMPUTED_VALUE"""),"https://surfshark.com/research/chart/women-in-sci-tech-EU")</f>
        <v>https://surfshark.com/research/chart/women-in-sci-tech-EU</v>
      </c>
      <c r="E50" s="5" t="str">
        <f>IFERROR(__xludf.DUMMYFUNCTION("""COMPUTED_VALUE"""),"https://docs.google.com/spreadsheets/d/1Lfs7fGsduihS31GynnR-6itRxnjhDIcU3EA2iaAlYnI/edit#gid=501707389")</f>
        <v>https://docs.google.com/spreadsheets/d/1Lfs7fGsduihS31GynnR-6itRxnjhDIcU3EA2iaAlYnI/edit#gid=501707389</v>
      </c>
    </row>
    <row r="51">
      <c r="A51" s="3">
        <f>IFERROR(__xludf.DUMMYFUNCTION("""COMPUTED_VALUE"""),45363.0)</f>
        <v>45363</v>
      </c>
      <c r="B51" s="4" t="str">
        <f>IFERROR(__xludf.DUMMYFUNCTION("""COMPUTED_VALUE"""),"Mobile shopping spending increased 3x in South Korea")</f>
        <v>Mobile shopping spending increased 3x in South Korea</v>
      </c>
      <c r="C51" s="4" t="str">
        <f>IFERROR(__xludf.DUMMYFUNCTION("""COMPUTED_VALUE"""),"692 trillion won were spent on online shopping in South Korea since 2017")</f>
        <v>692 trillion won were spent on online shopping in South Korea since 2017</v>
      </c>
      <c r="D51" s="5" t="str">
        <f>IFERROR(__xludf.DUMMYFUNCTION("""COMPUTED_VALUE"""),"https://surfshark.com/research/chart/south-korea-online-shopping")</f>
        <v>https://surfshark.com/research/chart/south-korea-online-shopping</v>
      </c>
      <c r="E51" s="5" t="str">
        <f>IFERROR(__xludf.DUMMYFUNCTION("""COMPUTED_VALUE"""),"https://docs.google.com/spreadsheets/d/1Lfs7fGsduihS31GynnR-6itRxnjhDIcU3EA2iaAlYnI/edit#gid=435467853")</f>
        <v>https://docs.google.com/spreadsheets/d/1Lfs7fGsduihS31GynnR-6itRxnjhDIcU3EA2iaAlYnI/edit#gid=435467853</v>
      </c>
    </row>
    <row r="52">
      <c r="A52" s="3">
        <f>IFERROR(__xludf.DUMMYFUNCTION("""COMPUTED_VALUE"""),45370.0)</f>
        <v>45370</v>
      </c>
      <c r="B52" s="4" t="str">
        <f>IFERROR(__xludf.DUMMYFUNCTION("""COMPUTED_VALUE"""),"Quantum security in popular messaging apps")</f>
        <v>Quantum security in popular messaging apps</v>
      </c>
      <c r="C52" s="4" t="str">
        <f>IFERROR(__xludf.DUMMYFUNCTION("""COMPUTED_VALUE"""),"Only 2 of 12 popular messaging apps are quantum-secure")</f>
        <v>Only 2 of 12 popular messaging apps are quantum-secure</v>
      </c>
      <c r="D52" s="5" t="str">
        <f>IFERROR(__xludf.DUMMYFUNCTION("""COMPUTED_VALUE"""),"https://surfshark.com/research/chart/quantum-secure-messaging-apps")</f>
        <v>https://surfshark.com/research/chart/quantum-secure-messaging-apps</v>
      </c>
      <c r="E52" s="5" t="str">
        <f>IFERROR(__xludf.DUMMYFUNCTION("""COMPUTED_VALUE"""),"https://docs.google.com/spreadsheets/d/1Lfs7fGsduihS31GynnR-6itRxnjhDIcU3EA2iaAlYnI/edit#gid=1472998017")</f>
        <v>https://docs.google.com/spreadsheets/d/1Lfs7fGsduihS31GynnR-6itRxnjhDIcU3EA2iaAlYnI/edit#gid=1472998017</v>
      </c>
    </row>
    <row r="53">
      <c r="A53" s="3">
        <f>IFERROR(__xludf.DUMMYFUNCTION("""COMPUTED_VALUE"""),45377.0)</f>
        <v>45377</v>
      </c>
      <c r="B53" s="4" t="str">
        <f>IFERROR(__xludf.DUMMYFUNCTION("""COMPUTED_VALUE"""),"Surfshark Antivirus: which cyberthreats are the most common?")</f>
        <v>Surfshark Antivirus: which cyberthreats are the most common?</v>
      </c>
      <c r="C53" s="4" t="str">
        <f>IFERROR(__xludf.DUMMYFUNCTION("""COMPUTED_VALUE"""),"Just 5 malware types account for almost 80% of all threats detected in 2024")</f>
        <v>Just 5 malware types account for almost 80% of all threats detected in 2024</v>
      </c>
      <c r="D53" s="5" t="str">
        <f>IFERROR(__xludf.DUMMYFUNCTION("""COMPUTED_VALUE"""),"https://surfshark.com/research/chart/antivirus-statistics")</f>
        <v>https://surfshark.com/research/chart/antivirus-statistics</v>
      </c>
      <c r="E53" s="5" t="str">
        <f>IFERROR(__xludf.DUMMYFUNCTION("""COMPUTED_VALUE"""),"https://docs.google.com/spreadsheets/d/1Lfs7fGsduihS31GynnR-6itRxnjhDIcU3EA2iaAlYnI/edit#gid=1544323123")</f>
        <v>https://docs.google.com/spreadsheets/d/1Lfs7fGsduihS31GynnR-6itRxnjhDIcU3EA2iaAlYnI/edit#gid=1544323123</v>
      </c>
    </row>
    <row r="54">
      <c r="A54" s="3">
        <f>IFERROR(__xludf.DUMMYFUNCTION("""COMPUTED_VALUE"""),45425.0)</f>
        <v>45425</v>
      </c>
      <c r="B54" s="4" t="str">
        <f>IFERROR(__xludf.DUMMYFUNCTION("""COMPUTED_VALUE"""),"EU’s internet usage gap in people with limited accessibility")</f>
        <v>EU’s internet usage gap in people with limited accessibility</v>
      </c>
      <c r="C54" s="4" t="str">
        <f>IFERROR(__xludf.DUMMYFUNCTION("""COMPUTED_VALUE"""),"17% fewer EU residents with activity limitations use the internet")</f>
        <v>17% fewer EU residents with activity limitations use the internet</v>
      </c>
      <c r="D54" s="5" t="str">
        <f>IFERROR(__xludf.DUMMYFUNCTION("""COMPUTED_VALUE"""),"https://surfshark.com/research/chart/internet-usage-gap-in-people-with-disabilities-eu")</f>
        <v>https://surfshark.com/research/chart/internet-usage-gap-in-people-with-disabilities-eu</v>
      </c>
      <c r="E54" s="5" t="str">
        <f>IFERROR(__xludf.DUMMYFUNCTION("""COMPUTED_VALUE"""),"https://docs.google.com/spreadsheets/d/1ylS2OWubnacaQyw-_28mSQCO1IxhxIQbPNGKAsA-WMs/edit#gid=1544323123")</f>
        <v>https://docs.google.com/spreadsheets/d/1ylS2OWubnacaQyw-_28mSQCO1IxhxIQbPNGKAsA-WMs/edit#gid=1544323123</v>
      </c>
    </row>
    <row r="55">
      <c r="A55" s="3">
        <f>IFERROR(__xludf.DUMMYFUNCTION("""COMPUTED_VALUE"""),45461.0)</f>
        <v>45461</v>
      </c>
      <c r="B55" s="4" t="str">
        <f>IFERROR(__xludf.DUMMYFUNCTION("""COMPUTED_VALUE"""),"One in five AI incidents relates to elections")</f>
        <v>One in five AI incidents relates to elections</v>
      </c>
      <c r="C55" s="4" t="str">
        <f>IFERROR(__xludf.DUMMYFUNCTION("""COMPUTED_VALUE"""),"Over the last year, Donald Trump was involved in 3x more AI incidents than Joe Biden")</f>
        <v>Over the last year, Donald Trump was involved in 3x more AI incidents than Joe Biden</v>
      </c>
      <c r="D55" s="5" t="str">
        <f>IFERROR(__xludf.DUMMYFUNCTION("""COMPUTED_VALUE"""),"https://surfshark.com/research/chart/election-related-ai-incidents")</f>
        <v>https://surfshark.com/research/chart/election-related-ai-incidents</v>
      </c>
      <c r="E55" s="5" t="str">
        <f>IFERROR(__xludf.DUMMYFUNCTION("""COMPUTED_VALUE"""),"https://docs.google.com/spreadsheets/d/1ylS2OWubnacaQyw-_28mSQCO1IxhxIQbPNGKAsA-WMs/edit#gid=1891396071")</f>
        <v>https://docs.google.com/spreadsheets/d/1ylS2OWubnacaQyw-_28mSQCO1IxhxIQbPNGKAsA-WMs/edit#gid=1891396071</v>
      </c>
    </row>
    <row r="56">
      <c r="A56" s="3">
        <f>IFERROR(__xludf.DUMMYFUNCTION("""COMPUTED_VALUE"""),45496.0)</f>
        <v>45496</v>
      </c>
      <c r="B56" s="4" t="str">
        <f>IFERROR(__xludf.DUMMYFUNCTION("""COMPUTED_VALUE"""),"21 internet restrictions recorded in the first half of 2024")</f>
        <v>21 internet restrictions recorded in the first half of 2024</v>
      </c>
      <c r="C56" s="4" t="str">
        <f>IFERROR(__xludf.DUMMYFUNCTION("""COMPUTED_VALUE"""),"9 countries/territories imposed internet restrictions in the first half of 2024")</f>
        <v>9 countries/territories imposed internet restrictions in the first half of 2024</v>
      </c>
      <c r="D56" s="5" t="str">
        <f>IFERROR(__xludf.DUMMYFUNCTION("""COMPUTED_VALUE"""),"https://surfshark.com/research/chart/internet-shutdowns-first-half-2024")</f>
        <v>https://surfshark.com/research/chart/internet-shutdowns-first-half-2024</v>
      </c>
      <c r="E56" s="5" t="str">
        <f>IFERROR(__xludf.DUMMYFUNCTION("""COMPUTED_VALUE"""),"https://docs.google.com/spreadsheets/d/19f89fgKuIY8pl4GHUhqVOEz4F-DQqp2PJ11GA0X1uQY/edit?usp=sharing")</f>
        <v>https://docs.google.com/spreadsheets/d/19f89fgKuIY8pl4GHUhqVOEz4F-DQqp2PJ11GA0X1uQY/edit?usp=sharing</v>
      </c>
    </row>
    <row r="57">
      <c r="A57" s="3">
        <f>IFERROR(__xludf.DUMMYFUNCTION("""COMPUTED_VALUE"""),45531.0)</f>
        <v>45531</v>
      </c>
      <c r="B57" s="4" t="str">
        <f>IFERROR(__xludf.DUMMYFUNCTION("""COMPUTED_VALUE"""),"Is privacy an illusion under a security camera’s watch?")</f>
        <v>Is privacy an illusion under a security camera’s watch?</v>
      </c>
      <c r="C57" s="4" t="str">
        <f>IFERROR(__xludf.DUMMYFUNCTION("""COMPUTED_VALUE"""),"Outdoor security camera apps are among the top collectors of user data")</f>
        <v>Outdoor security camera apps are among the top collectors of user data</v>
      </c>
      <c r="D57" s="5" t="str">
        <f>IFERROR(__xludf.DUMMYFUNCTION("""COMPUTED_VALUE"""),"https://surfshark.com/research/chart/security-camera-apps-privacy")</f>
        <v>https://surfshark.com/research/chart/security-camera-apps-privacy</v>
      </c>
      <c r="E57" s="5" t="str">
        <f>IFERROR(__xludf.DUMMYFUNCTION("""COMPUTED_VALUE"""),"https://docs.google.com/spreadsheets/d/1JGIsLaBiwtSyKuCvlKg4i9R5wEfeMTxng0jAJSH4JUA/edit?gid=425029731#gid=425029731")</f>
        <v>https://docs.google.com/spreadsheets/d/1JGIsLaBiwtSyKuCvlKg4i9R5wEfeMTxng0jAJSH4JUA/edit?gid=425029731#gid=425029731</v>
      </c>
    </row>
    <row r="58">
      <c r="A58" s="3">
        <f>IFERROR(__xludf.DUMMYFUNCTION("""COMPUTED_VALUE"""),45537.0)</f>
        <v>45537</v>
      </c>
      <c r="B58" s="4" t="str">
        <f>IFERROR(__xludf.DUMMYFUNCTION("""COMPUTED_VALUE"""),"Most cyber incidents in France have unidentified origins")</f>
        <v>Most cyber incidents in France have unidentified origins</v>
      </c>
      <c r="C58" s="4" t="str">
        <f>IFERROR(__xludf.DUMMYFUNCTION("""COMPUTED_VALUE"""),"Around 83% of cyber incidents in France have no identified country of origin — 11 of the 64 cases were found to have been attributed to at least one origin country. ")</f>
        <v>Around 83% of cyber incidents in France have no identified country of origin — 11 of the 64 cases were found to have been attributed to at least one origin country. </v>
      </c>
      <c r="D58" s="5" t="str">
        <f>IFERROR(__xludf.DUMMYFUNCTION("""COMPUTED_VALUE"""),"https://surfshark.com/research/chart/cyber-attacks-france")</f>
        <v>https://surfshark.com/research/chart/cyber-attacks-france</v>
      </c>
      <c r="E58" s="5" t="str">
        <f>IFERROR(__xludf.DUMMYFUNCTION("""COMPUTED_VALUE"""),"https://docs.google.com/spreadsheets/d/1JGIsLaBiwtSyKuCvlKg4i9R5wEfeMTxng0jAJSH4JUA/edit?gid=192376876#gid=192376876")</f>
        <v>https://docs.google.com/spreadsheets/d/1JGIsLaBiwtSyKuCvlKg4i9R5wEfeMTxng0jAJSH4JUA/edit?gid=192376876#gid=192376876</v>
      </c>
    </row>
    <row r="59">
      <c r="A59" s="3">
        <f>IFERROR(__xludf.DUMMYFUNCTION("""COMPUTED_VALUE"""),45545.0)</f>
        <v>45545</v>
      </c>
      <c r="B59" s="4" t="str">
        <f>IFERROR(__xludf.DUMMYFUNCTION("""COMPUTED_VALUE"""),"GDPR fines: can they shift data collection practices?")</f>
        <v>GDPR fines: can they shift data collection practices?</v>
      </c>
      <c r="C59" s="4" t="str">
        <f>IFERROR(__xludf.DUMMYFUNCTION("""COMPUTED_VALUE"""),"Despite high GDPR fines, data collection on analyzed apps is set to continue or even increase")</f>
        <v>Despite high GDPR fines, data collection on analyzed apps is set to continue or even increase</v>
      </c>
      <c r="D59" s="5" t="str">
        <f>IFERROR(__xludf.DUMMYFUNCTION("""COMPUTED_VALUE"""),"https://surfshark.com/research/chart/gdpr-fines-apps")</f>
        <v>https://surfshark.com/research/chart/gdpr-fines-apps</v>
      </c>
      <c r="E59" s="5" t="str">
        <f>IFERROR(__xludf.DUMMYFUNCTION("""COMPUTED_VALUE"""),"https://docs.google.com/spreadsheets/d/1JGIsLaBiwtSyKuCvlKg4i9R5wEfeMTxng0jAJSH4JUA/edit?gid=722487043#gid=722487043")</f>
        <v>https://docs.google.com/spreadsheets/d/1JGIsLaBiwtSyKuCvlKg4i9R5wEfeMTxng0jAJSH4JUA/edit?gid=722487043#gid=722487043</v>
      </c>
    </row>
    <row r="60">
      <c r="A60" s="3">
        <f>IFERROR(__xludf.DUMMYFUNCTION("""COMPUTED_VALUE"""),45594.0)</f>
        <v>45594</v>
      </c>
      <c r="B60" s="4" t="str">
        <f>IFERROR(__xludf.DUMMYFUNCTION("""COMPUTED_VALUE"""),"Alaska leads US states in the rate of cybercrime complaints")</f>
        <v>Alaska leads US states in the rate of cybercrime complaints</v>
      </c>
      <c r="C60" s="4" t="str">
        <f>IFERROR(__xludf.DUMMYFUNCTION("""COMPUTED_VALUE"""),"Alaska leads US states in the rate of cybercrime complaints")</f>
        <v>Alaska leads US states in the rate of cybercrime complaints</v>
      </c>
      <c r="D60" s="5" t="str">
        <f>IFERROR(__xludf.DUMMYFUNCTION("""COMPUTED_VALUE"""),"https://surfshark.com/research/chart/alaska-cybercrime-statistics")</f>
        <v>https://surfshark.com/research/chart/alaska-cybercrime-statistics</v>
      </c>
      <c r="E60" s="5" t="str">
        <f>IFERROR(__xludf.DUMMYFUNCTION("""COMPUTED_VALUE"""),"https://docs.google.com/spreadsheets/d/16igyISSNgOoqRvClPj3ETrTBoxjt6o-frkwfIGD0l5I/edit?gid=192376876#gid=192376876")</f>
        <v>https://docs.google.com/spreadsheets/d/16igyISSNgOoqRvClPj3ETrTBoxjt6o-frkwfIGD0l5I/edit?gid=192376876#gid=192376876</v>
      </c>
    </row>
    <row r="61">
      <c r="A61" s="3">
        <f>IFERROR(__xludf.DUMMYFUNCTION("""COMPUTED_VALUE"""),45622.0)</f>
        <v>45622</v>
      </c>
      <c r="B61" s="4" t="str">
        <f>IFERROR(__xludf.DUMMYFUNCTION("""COMPUTED_VALUE"""),"Stay safe: guard your payment cards this holiday season")</f>
        <v>Stay safe: guard your payment cards this holiday season</v>
      </c>
      <c r="C61" s="4" t="str">
        <f>IFERROR(__xludf.DUMMYFUNCTION("""COMPUTED_VALUE"""),"The US stands out with the highest rate of breached payment card details among major economies")</f>
        <v>The US stands out with the highest rate of breached payment card details among major economies</v>
      </c>
      <c r="D61" s="5" t="str">
        <f>IFERROR(__xludf.DUMMYFUNCTION("""COMPUTED_VALUE"""),"https://surfshark.com/research/chart/breached-payment-cards")</f>
        <v>https://surfshark.com/research/chart/breached-payment-cards</v>
      </c>
      <c r="E61" s="5" t="str">
        <f>IFERROR(__xludf.DUMMYFUNCTION("""COMPUTED_VALUE"""),"https://docs.google.com/spreadsheets/d/16igyISSNgOoqRvClPj3ETrTBoxjt6o-frkwfIGD0l5I/edit?gid=1901285968#gid=1901285968")</f>
        <v>https://docs.google.com/spreadsheets/d/16igyISSNgOoqRvClPj3ETrTBoxjt6o-frkwfIGD0l5I/edit?gid=1901285968#gid=1901285968</v>
      </c>
    </row>
    <row r="62">
      <c r="A62" s="3">
        <f>IFERROR(__xludf.DUMMYFUNCTION("""COMPUTED_VALUE"""),45635.0)</f>
        <v>45635</v>
      </c>
      <c r="B62" s="4" t="str">
        <f>IFERROR(__xludf.DUMMYFUNCTION("""COMPUTED_VALUE"""),"How much data do holiday season mobile games collect?")</f>
        <v>How much data do holiday season mobile games collect?</v>
      </c>
      <c r="C62" s="4" t="str">
        <f>IFERROR(__xludf.DUMMYFUNCTION("""COMPUTED_VALUE"""),"Free festive season apps share five times more data with third parties than paid apps")</f>
        <v>Free festive season apps share five times more data with third parties than paid apps</v>
      </c>
      <c r="D62" s="5" t="str">
        <f>IFERROR(__xludf.DUMMYFUNCTION("""COMPUTED_VALUE"""),"https://surfshark.com/research/chart/holiday-season-mobile-games")</f>
        <v>https://surfshark.com/research/chart/holiday-season-mobile-games</v>
      </c>
      <c r="E62" s="5" t="str">
        <f>IFERROR(__xludf.DUMMYFUNCTION("""COMPUTED_VALUE"""),"https://docs.google.com/spreadsheets/d/16igyISSNgOoqRvClPj3ETrTBoxjt6o-frkwfIGD0l5I/edit?gid=479034733#gid=479034733")</f>
        <v>https://docs.google.com/spreadsheets/d/16igyISSNgOoqRvClPj3ETrTBoxjt6o-frkwfIGD0l5I/edit?gid=479034733#gid=479034733</v>
      </c>
    </row>
    <row r="63">
      <c r="A63" s="3">
        <f>IFERROR(__xludf.DUMMYFUNCTION("""COMPUTED_VALUE"""),45642.0)</f>
        <v>45642</v>
      </c>
      <c r="B63" s="4" t="str">
        <f>IFERROR(__xludf.DUMMYFUNCTION("""COMPUTED_VALUE"""),"Sleep well! Can you do that in your smart bedroom?")</f>
        <v>Sleep well! Can you do that in your smart bedroom?</v>
      </c>
      <c r="C63" s="4" t="str">
        <f>IFERROR(__xludf.DUMMYFUNCTION("""COMPUTED_VALUE"""),"Your smart pillow or bed apps may be collecting sensitive data")</f>
        <v>Your smart pillow or bed apps may be collecting sensitive data</v>
      </c>
      <c r="D63" s="5" t="str">
        <f>IFERROR(__xludf.DUMMYFUNCTION("""COMPUTED_VALUE"""),"https://surfshark.com/research/chart/smart-bedroom-privacy")</f>
        <v>https://surfshark.com/research/chart/smart-bedroom-privacy</v>
      </c>
      <c r="E63" s="5" t="str">
        <f>IFERROR(__xludf.DUMMYFUNCTION("""COMPUTED_VALUE"""),"https://docs.google.com/spreadsheets/d/16igyISSNgOoqRvClPj3ETrTBoxjt6o-frkwfIGD0l5I/edit?gid=2146735867#gid=2146735867")</f>
        <v>https://docs.google.com/spreadsheets/d/16igyISSNgOoqRvClPj3ETrTBoxjt6o-frkwfIGD0l5I/edit?gid=2146735867#gid=2146735867</v>
      </c>
    </row>
    <row r="64">
      <c r="A64" s="3">
        <f>IFERROR(__xludf.DUMMYFUNCTION("""COMPUTED_VALUE"""),45664.0)</f>
        <v>45664</v>
      </c>
      <c r="B64" s="4" t="str">
        <f>IFERROR(__xludf.DUMMYFUNCTION("""COMPUTED_VALUE"""),"80% of top fitness apps share user data with third parties")</f>
        <v>80% of top fitness apps share user data with third parties</v>
      </c>
      <c r="C64" s="4" t="str">
        <f>IFERROR(__xludf.DUMMYFUNCTION("""COMPUTED_VALUE"""),"80% of fitness apps share user data with third parties")</f>
        <v>80% of fitness apps share user data with third parties</v>
      </c>
      <c r="D64" s="5" t="str">
        <f>IFERROR(__xludf.DUMMYFUNCTION("""COMPUTED_VALUE"""),"https://surfshark.com/research/chart/fitness-apps-privacy")</f>
        <v>https://surfshark.com/research/chart/fitness-apps-privacy</v>
      </c>
      <c r="E64" s="5" t="str">
        <f>IFERROR(__xludf.DUMMYFUNCTION("""COMPUTED_VALUE"""),"https://docs.google.com/spreadsheets/d/1lXGt6A9gQSyh3R7-OlMm5nGAyLMu2H6LpuVsOAYm0dE/edit?gid=82614146#gid=82614146")</f>
        <v>https://docs.google.com/spreadsheets/d/1lXGt6A9gQSyh3R7-OlMm5nGAyLMu2H6LpuVsOAYm0dE/edit?gid=82614146#gid=82614146</v>
      </c>
    </row>
    <row r="65">
      <c r="A65" s="3">
        <f>IFERROR(__xludf.DUMMYFUNCTION("""COMPUTED_VALUE"""),45671.0)</f>
        <v>45671</v>
      </c>
      <c r="B65" s="4" t="str">
        <f>IFERROR(__xludf.DUMMYFUNCTION("""COMPUTED_VALUE"""),"Over 90% of analyzed weight control apps track their users ")</f>
        <v>Over 90% of analyzed weight control apps track their users </v>
      </c>
      <c r="C65" s="4" t="str">
        <f>IFERROR(__xludf.DUMMYFUNCTION("""COMPUTED_VALUE"""),"Over 90% of analyzed weight control apps track their users ")</f>
        <v>Over 90% of analyzed weight control apps track their users </v>
      </c>
      <c r="D65" s="5" t="str">
        <f>IFERROR(__xludf.DUMMYFUNCTION("""COMPUTED_VALUE"""),"https://surfshark.com/research/chart/weight-control-apps-privacy")</f>
        <v>https://surfshark.com/research/chart/weight-control-apps-privacy</v>
      </c>
      <c r="E65" s="5" t="str">
        <f>IFERROR(__xludf.DUMMYFUNCTION("""COMPUTED_VALUE"""),"https://docs.google.com/spreadsheets/d/1lXGt6A9gQSyh3R7-OlMm5nGAyLMu2H6LpuVsOAYm0dE/edit?gid=82614146#gid=82614146")</f>
        <v>https://docs.google.com/spreadsheets/d/1lXGt6A9gQSyh3R7-OlMm5nGAyLMu2H6LpuVsOAYm0dE/edit?gid=82614146#gid=82614146</v>
      </c>
    </row>
    <row r="66">
      <c r="A66" s="3">
        <f>IFERROR(__xludf.DUMMYFUNCTION("""COMPUTED_VALUE"""),45699.0)</f>
        <v>45699</v>
      </c>
      <c r="B66" s="4" t="str">
        <f>IFERROR(__xludf.DUMMYFUNCTION("""COMPUTED_VALUE"""),"AI companion apps “love” your personal data")</f>
        <v>AI companion apps “love” your personal data</v>
      </c>
      <c r="C66" s="4" t="str">
        <f>IFERROR(__xludf.DUMMYFUNCTION("""COMPUTED_VALUE"""),"Four out of five leading AI companion apps use data to track users")</f>
        <v>Four out of five leading AI companion apps use data to track users</v>
      </c>
      <c r="D66" s="5" t="str">
        <f>IFERROR(__xludf.DUMMYFUNCTION("""COMPUTED_VALUE"""),"https://surfshark.com/research/chart/ai-companion-apps")</f>
        <v>https://surfshark.com/research/chart/ai-companion-apps</v>
      </c>
      <c r="E66" s="5" t="str">
        <f>IFERROR(__xludf.DUMMYFUNCTION("""COMPUTED_VALUE"""),"https://docs.google.com/spreadsheets/d/1lXGt6A9gQSyh3R7-OlMm5nGAyLMu2H6LpuVsOAYm0dE/edit?gid=82614146#gid=82614146")</f>
        <v>https://docs.google.com/spreadsheets/d/1lXGt6A9gQSyh3R7-OlMm5nGAyLMu2H6LpuVsOAYm0dE/edit?gid=82614146#gid=82614146</v>
      </c>
    </row>
    <row r="67">
      <c r="A67" s="3">
        <f>IFERROR(__xludf.DUMMYFUNCTION("""COMPUTED_VALUE"""),45706.0)</f>
        <v>45706</v>
      </c>
      <c r="B67" s="4" t="str">
        <f>IFERROR(__xludf.DUMMYFUNCTION("""COMPUTED_VALUE"""),"30% of popular AI chatbots share data with third parties")</f>
        <v>30% of popular AI chatbots share data with third parties</v>
      </c>
      <c r="C67" s="4" t="str">
        <f>IFERROR(__xludf.DUMMYFUNCTION("""COMPUTED_VALUE"""),"40% of popular AI chatbots collect user location")</f>
        <v>40% of popular AI chatbots collect user location</v>
      </c>
      <c r="D67" s="5" t="str">
        <f>IFERROR(__xludf.DUMMYFUNCTION("""COMPUTED_VALUE"""),"https://surfshark.com/research/chart/ai-chatbots-privacy")</f>
        <v>https://surfshark.com/research/chart/ai-chatbots-privacy</v>
      </c>
      <c r="E67" s="5" t="str">
        <f>IFERROR(__xludf.DUMMYFUNCTION("""COMPUTED_VALUE"""),"https://docs.google.com/spreadsheets/d/1lXGt6A9gQSyh3R7-OlMm5nGAyLMu2H6LpuVsOAYm0dE/edit?gid=1529695293#gid=1529695293")</f>
        <v>https://docs.google.com/spreadsheets/d/1lXGt6A9gQSyh3R7-OlMm5nGAyLMu2H6LpuVsOAYm0dE/edit?gid=1529695293#gid=1529695293</v>
      </c>
    </row>
    <row r="68">
      <c r="A68" s="3">
        <f>IFERROR(__xludf.DUMMYFUNCTION("""COMPUTED_VALUE"""),45713.0)</f>
        <v>45713</v>
      </c>
      <c r="B68" s="4" t="str">
        <f>IFERROR(__xludf.DUMMYFUNCTION("""COMPUTED_VALUE"""),"Overshared online? How the “right to be forgotten” can help")</f>
        <v>Overshared online? How the “right to be forgotten” can help</v>
      </c>
      <c r="C68" s="4" t="str">
        <f>IFERROR(__xludf.DUMMYFUNCTION("""COMPUTED_VALUE"""),"Five countries accounted for 70% of total URLs requested for delisting from Google's search results in 2025")</f>
        <v>Five countries accounted for 70% of total URLs requested for delisting from Google's search results in 2025</v>
      </c>
      <c r="D68" s="5" t="str">
        <f>IFERROR(__xludf.DUMMYFUNCTION("""COMPUTED_VALUE"""),"https://surfshark.com/research/chart/oversharing-online")</f>
        <v>https://surfshark.com/research/chart/oversharing-online</v>
      </c>
      <c r="E68" s="5" t="str">
        <f>IFERROR(__xludf.DUMMYFUNCTION("""COMPUTED_VALUE"""),"https://docs.google.com/spreadsheets/d/1lXGt6A9gQSyh3R7-OlMm5nGAyLMu2H6LpuVsOAYm0dE/edit?gid=149202820#gid=149202820")</f>
        <v>https://docs.google.com/spreadsheets/d/1lXGt6A9gQSyh3R7-OlMm5nGAyLMu2H6LpuVsOAYm0dE/edit?gid=149202820#gid=149202820</v>
      </c>
    </row>
    <row r="69">
      <c r="A69" s="3">
        <f>IFERROR(__xludf.DUMMYFUNCTION("""COMPUTED_VALUE"""),45720.0)</f>
        <v>45720</v>
      </c>
      <c r="B69" s="4" t="str">
        <f>IFERROR(__xludf.DUMMYFUNCTION("""COMPUTED_VALUE"""),"Do phone cleaner apps help declutter your digital space?")</f>
        <v>Do phone cleaner apps help declutter your digital space?</v>
      </c>
      <c r="C69" s="4" t="str">
        <f>IFERROR(__xludf.DUMMYFUNCTION("""COMPUTED_VALUE"""),"Phone cleaner apps may clear storage but they’re hoarding your data")</f>
        <v>Phone cleaner apps may clear storage but they’re hoarding your data</v>
      </c>
      <c r="D69" s="5" t="str">
        <f>IFERROR(__xludf.DUMMYFUNCTION("""COMPUTED_VALUE"""),"https://surfshark.com/research/chart/phone-cleaner-apps")</f>
        <v>https://surfshark.com/research/chart/phone-cleaner-apps</v>
      </c>
      <c r="E69" s="5" t="str">
        <f>IFERROR(__xludf.DUMMYFUNCTION("""COMPUTED_VALUE"""),"https://docs.google.com/spreadsheets/d/1lXGt6A9gQSyh3R7-OlMm5nGAyLMu2H6LpuVsOAYm0dE/edit?gid=570809168#gid=570809168")</f>
        <v>https://docs.google.com/spreadsheets/d/1lXGt6A9gQSyh3R7-OlMm5nGAyLMu2H6LpuVsOAYm0dE/edit?gid=570809168#gid=570809168</v>
      </c>
    </row>
    <row r="70">
      <c r="A70" s="3">
        <f>IFERROR(__xludf.DUMMYFUNCTION("""COMPUTED_VALUE"""),45728.0)</f>
        <v>45728</v>
      </c>
      <c r="B70" s="4" t="str">
        <f>IFERROR(__xludf.DUMMYFUNCTION("""COMPUTED_VALUE"""),"Record number of ransomware attacks in January 2025")</f>
        <v>Record number of ransomware attacks in January 2025</v>
      </c>
      <c r="C70" s="4" t="str">
        <f>IFERROR(__xludf.DUMMYFUNCTION("""COMPUTED_VALUE"""),"Ransomware attacks have hit an all time high in January 2025")</f>
        <v>Ransomware attacks have hit an all time high in January 2025</v>
      </c>
      <c r="D70" s="5" t="str">
        <f>IFERROR(__xludf.DUMMYFUNCTION("""COMPUTED_VALUE"""),"https://surfshark.com/research/chart/ransomware-attacks-2025")</f>
        <v>https://surfshark.com/research/chart/ransomware-attacks-2025</v>
      </c>
      <c r="E70" s="5" t="str">
        <f>IFERROR(__xludf.DUMMYFUNCTION("""COMPUTED_VALUE"""),"https://docs.google.com/spreadsheets/d/1lXGt6A9gQSyh3R7-OlMm5nGAyLMu2H6LpuVsOAYm0dE/edit?gid=573031349#gid=573031349")</f>
        <v>https://docs.google.com/spreadsheets/d/1lXGt6A9gQSyh3R7-OlMm5nGAyLMu2H6LpuVsOAYm0dE/edit?gid=573031349#gid=573031349</v>
      </c>
    </row>
    <row r="71">
      <c r="A71" s="3">
        <f>IFERROR(__xludf.DUMMYFUNCTION("""COMPUTED_VALUE"""),45734.0)</f>
        <v>45734</v>
      </c>
      <c r="B71" s="4" t="str">
        <f>IFERROR(__xludf.DUMMYFUNCTION("""COMPUTED_VALUE"""),"Healthcare cybersecurity challenges")</f>
        <v>Healthcare cybersecurity challenges</v>
      </c>
      <c r="C71" s="4" t="str">
        <f>IFERROR(__xludf.DUMMYFUNCTION("""COMPUTED_VALUE"""),"In 2024, over 80% of U.S. healthcare data breaches were due to hacking/IT incidents.")</f>
        <v>In 2024, over 80% of U.S. healthcare data breaches were due to hacking/IT incidents.</v>
      </c>
      <c r="D71" s="5" t="str">
        <f>IFERROR(__xludf.DUMMYFUNCTION("""COMPUTED_VALUE"""),"https://surfshark.com/research/chart/healthcare-cybersecurity-challenges")</f>
        <v>https://surfshark.com/research/chart/healthcare-cybersecurity-challenges</v>
      </c>
      <c r="E71" s="5" t="str">
        <f>IFERROR(__xludf.DUMMYFUNCTION("""COMPUTED_VALUE"""),"https://docs.google.com/spreadsheets/d/1lXGt6A9gQSyh3R7-OlMm5nGAyLMu2H6LpuVsOAYm0dE/edit?gid=1356865365#gid=1356865365")</f>
        <v>https://docs.google.com/spreadsheets/d/1lXGt6A9gQSyh3R7-OlMm5nGAyLMu2H6LpuVsOAYm0dE/edit?gid=1356865365#gid=1356865365</v>
      </c>
    </row>
    <row r="72">
      <c r="A72" s="3">
        <f>IFERROR(__xludf.DUMMYFUNCTION("""COMPUTED_VALUE"""),45741.0)</f>
        <v>45741</v>
      </c>
      <c r="B72" s="4" t="str">
        <f>IFERROR(__xludf.DUMMYFUNCTION("""COMPUTED_VALUE"""),"Traveling soon? Protect your data from cybersecurity threats")</f>
        <v>Traveling soon? Protect your data from cybersecurity threats</v>
      </c>
      <c r="C72" s="4" t="str">
        <f>IFERROR(__xludf.DUMMYFUNCTION("""COMPUTED_VALUE"""),"Traveling is exciting, but be mindful of cybersecurity threats along the way")</f>
        <v>Traveling is exciting, but be mindful of cybersecurity threats along the way</v>
      </c>
      <c r="D72" s="5" t="str">
        <f>IFERROR(__xludf.DUMMYFUNCTION("""COMPUTED_VALUE"""),"https://surfshark.com/research/chart/cybersecurity-threats-while-traveling")</f>
        <v>https://surfshark.com/research/chart/cybersecurity-threats-while-traveling</v>
      </c>
      <c r="E72" s="6"/>
    </row>
    <row r="73">
      <c r="A73" s="6"/>
      <c r="B73" s="4"/>
      <c r="C73" s="4"/>
      <c r="D73" s="6"/>
      <c r="E73" s="6"/>
    </row>
    <row r="74">
      <c r="A74" s="6"/>
      <c r="B74" s="4"/>
      <c r="C74" s="4"/>
      <c r="D74" s="6"/>
      <c r="E74" s="6"/>
    </row>
    <row r="75">
      <c r="A75" s="6"/>
      <c r="B75" s="4"/>
      <c r="C75" s="4"/>
      <c r="D75" s="6"/>
      <c r="E75" s="6"/>
    </row>
    <row r="76">
      <c r="A76" s="6"/>
      <c r="B76" s="4"/>
      <c r="C76" s="4"/>
      <c r="D76" s="6"/>
      <c r="E76" s="6"/>
    </row>
    <row r="77">
      <c r="A77" s="6"/>
      <c r="B77" s="4"/>
      <c r="C77" s="4"/>
      <c r="D77" s="6"/>
      <c r="E77" s="6"/>
    </row>
    <row r="78">
      <c r="A78" s="6"/>
      <c r="B78" s="4"/>
      <c r="C78" s="4"/>
      <c r="D78" s="6"/>
      <c r="E78" s="6"/>
    </row>
    <row r="79">
      <c r="A79" s="6"/>
      <c r="B79" s="4"/>
      <c r="C79" s="4"/>
      <c r="D79" s="6"/>
      <c r="E79" s="6"/>
    </row>
    <row r="80">
      <c r="A80" s="6"/>
      <c r="B80" s="4"/>
      <c r="C80" s="4"/>
      <c r="D80" s="6"/>
      <c r="E80" s="6"/>
    </row>
    <row r="81">
      <c r="A81" s="6"/>
      <c r="B81" s="4"/>
      <c r="C81" s="4"/>
      <c r="D81" s="6"/>
      <c r="E81" s="6"/>
    </row>
    <row r="82">
      <c r="A82" s="6"/>
      <c r="B82" s="4"/>
      <c r="C82" s="4"/>
      <c r="D82" s="6"/>
      <c r="E82" s="6"/>
    </row>
    <row r="83">
      <c r="A83" s="6"/>
      <c r="B83" s="4"/>
      <c r="C83" s="4"/>
      <c r="D83" s="6"/>
      <c r="E83" s="6"/>
    </row>
    <row r="84">
      <c r="A84" s="6"/>
      <c r="B84" s="4"/>
      <c r="C84" s="4"/>
      <c r="D84" s="6"/>
      <c r="E84" s="6"/>
    </row>
    <row r="85">
      <c r="A85" s="6"/>
      <c r="B85" s="4"/>
      <c r="C85" s="4"/>
      <c r="D85" s="6"/>
      <c r="E85" s="6"/>
    </row>
    <row r="86">
      <c r="A86" s="6"/>
      <c r="B86" s="4"/>
      <c r="C86" s="4"/>
      <c r="D86" s="6"/>
      <c r="E86" s="6"/>
    </row>
    <row r="87">
      <c r="A87" s="6"/>
      <c r="B87" s="4"/>
      <c r="C87" s="4"/>
      <c r="D87" s="6"/>
      <c r="E87" s="6"/>
    </row>
    <row r="88">
      <c r="A88" s="6"/>
      <c r="B88" s="4"/>
      <c r="C88" s="4"/>
      <c r="D88" s="6"/>
      <c r="E88" s="6"/>
    </row>
    <row r="89">
      <c r="A89" s="6"/>
      <c r="B89" s="4"/>
      <c r="C89" s="4"/>
      <c r="D89" s="6"/>
      <c r="E89" s="6"/>
    </row>
    <row r="90">
      <c r="A90" s="6"/>
      <c r="B90" s="4"/>
      <c r="C90" s="4"/>
      <c r="D90" s="6"/>
      <c r="E90" s="6"/>
    </row>
    <row r="91">
      <c r="A91" s="6"/>
      <c r="B91" s="4"/>
      <c r="C91" s="4"/>
      <c r="D91" s="6"/>
      <c r="E91" s="6"/>
    </row>
    <row r="92">
      <c r="A92" s="6"/>
      <c r="B92" s="4"/>
      <c r="C92" s="4"/>
      <c r="D92" s="6"/>
      <c r="E92" s="6"/>
    </row>
    <row r="93">
      <c r="A93" s="6"/>
      <c r="B93" s="4"/>
      <c r="C93" s="4"/>
      <c r="D93" s="6"/>
      <c r="E93" s="6"/>
    </row>
    <row r="94">
      <c r="A94" s="6"/>
      <c r="B94" s="4"/>
      <c r="C94" s="4"/>
      <c r="D94" s="6"/>
      <c r="E94" s="6"/>
    </row>
    <row r="95">
      <c r="A95" s="6"/>
      <c r="B95" s="4"/>
      <c r="C95" s="4"/>
      <c r="D95" s="6"/>
      <c r="E95" s="6"/>
    </row>
    <row r="96">
      <c r="A96" s="6"/>
      <c r="B96" s="4"/>
      <c r="C96" s="4"/>
      <c r="D96" s="6"/>
      <c r="E96" s="6"/>
    </row>
    <row r="97">
      <c r="A97" s="6"/>
      <c r="B97" s="4"/>
      <c r="C97" s="4"/>
      <c r="D97" s="6"/>
      <c r="E97" s="6"/>
    </row>
    <row r="98">
      <c r="A98" s="6"/>
      <c r="B98" s="4"/>
      <c r="C98" s="4"/>
      <c r="D98" s="6"/>
      <c r="E98" s="6"/>
    </row>
    <row r="99">
      <c r="A99" s="6"/>
      <c r="B99" s="4"/>
      <c r="C99" s="4"/>
      <c r="D99" s="6"/>
      <c r="E99" s="6"/>
    </row>
    <row r="100">
      <c r="A100" s="6"/>
      <c r="B100" s="4"/>
      <c r="C100" s="4"/>
      <c r="D100" s="6"/>
      <c r="E100" s="6"/>
    </row>
    <row r="101">
      <c r="A101" s="6"/>
      <c r="B101" s="4"/>
      <c r="C101" s="4"/>
      <c r="D101" s="6"/>
      <c r="E101" s="6"/>
    </row>
    <row r="102">
      <c r="A102" s="6"/>
      <c r="B102" s="4"/>
      <c r="C102" s="4"/>
      <c r="D102" s="6"/>
      <c r="E102" s="6"/>
    </row>
    <row r="103">
      <c r="A103" s="6"/>
      <c r="B103" s="4"/>
      <c r="C103" s="4"/>
      <c r="D103" s="6"/>
      <c r="E103" s="6"/>
    </row>
    <row r="104">
      <c r="A104" s="6"/>
      <c r="B104" s="4"/>
      <c r="C104" s="4"/>
      <c r="D104" s="6"/>
      <c r="E104" s="6"/>
    </row>
    <row r="105">
      <c r="A105" s="6"/>
      <c r="B105" s="4"/>
      <c r="C105" s="4"/>
      <c r="D105" s="6"/>
      <c r="E105" s="6"/>
    </row>
    <row r="106">
      <c r="A106" s="6"/>
      <c r="B106" s="4"/>
      <c r="C106" s="4"/>
      <c r="D106" s="6"/>
      <c r="E106" s="6"/>
    </row>
    <row r="107">
      <c r="A107" s="6"/>
      <c r="B107" s="4"/>
      <c r="C107" s="4"/>
      <c r="D107" s="6"/>
      <c r="E107" s="6"/>
    </row>
    <row r="108">
      <c r="A108" s="6"/>
      <c r="B108" s="4"/>
      <c r="C108" s="4"/>
      <c r="D108" s="6"/>
      <c r="E108" s="6"/>
    </row>
    <row r="109">
      <c r="A109" s="6"/>
      <c r="B109" s="4"/>
      <c r="C109" s="4"/>
      <c r="D109" s="6"/>
      <c r="E109" s="6"/>
    </row>
    <row r="110">
      <c r="A110" s="6"/>
      <c r="B110" s="4"/>
      <c r="C110" s="4"/>
      <c r="D110" s="6"/>
      <c r="E110" s="6"/>
    </row>
    <row r="111">
      <c r="A111" s="6"/>
      <c r="B111" s="4"/>
      <c r="C111" s="4"/>
      <c r="D111" s="6"/>
      <c r="E111" s="6"/>
    </row>
    <row r="112">
      <c r="A112" s="6"/>
      <c r="B112" s="4"/>
      <c r="C112" s="4"/>
      <c r="D112" s="6"/>
      <c r="E112" s="6"/>
    </row>
    <row r="113">
      <c r="A113" s="6"/>
      <c r="B113" s="4"/>
      <c r="C113" s="4"/>
      <c r="D113" s="6"/>
      <c r="E113" s="6"/>
    </row>
    <row r="114">
      <c r="A114" s="6"/>
      <c r="B114" s="4"/>
      <c r="C114" s="4"/>
      <c r="D114" s="6"/>
      <c r="E114" s="6"/>
    </row>
    <row r="115">
      <c r="A115" s="6"/>
      <c r="B115" s="4"/>
      <c r="C115" s="4"/>
      <c r="D115" s="6"/>
      <c r="E115" s="6"/>
    </row>
    <row r="116">
      <c r="A116" s="6"/>
      <c r="B116" s="4"/>
      <c r="C116" s="4"/>
      <c r="D116" s="6"/>
      <c r="E116" s="6"/>
    </row>
    <row r="117">
      <c r="A117" s="6"/>
      <c r="B117" s="4"/>
      <c r="C117" s="4"/>
      <c r="D117" s="6"/>
      <c r="E117" s="6"/>
    </row>
    <row r="118">
      <c r="A118" s="6"/>
      <c r="B118" s="4"/>
      <c r="C118" s="4"/>
      <c r="D118" s="6"/>
      <c r="E118" s="6"/>
    </row>
    <row r="119">
      <c r="A119" s="6"/>
      <c r="B119" s="4"/>
      <c r="C119" s="4"/>
      <c r="D119" s="6"/>
      <c r="E119" s="6"/>
    </row>
    <row r="120">
      <c r="A120" s="6"/>
      <c r="B120" s="4"/>
      <c r="C120" s="4"/>
      <c r="D120" s="6"/>
      <c r="E120" s="6"/>
    </row>
    <row r="121">
      <c r="A121" s="6"/>
      <c r="B121" s="4"/>
      <c r="C121" s="4"/>
      <c r="D121" s="6"/>
      <c r="E121" s="6"/>
    </row>
    <row r="122">
      <c r="A122" s="6"/>
      <c r="B122" s="4"/>
      <c r="C122" s="4"/>
      <c r="D122" s="6"/>
      <c r="E122" s="6"/>
    </row>
    <row r="123">
      <c r="A123" s="6"/>
      <c r="B123" s="4"/>
      <c r="C123" s="4"/>
      <c r="D123" s="6"/>
      <c r="E123" s="6"/>
    </row>
    <row r="124">
      <c r="A124" s="6"/>
      <c r="B124" s="4"/>
      <c r="C124" s="4"/>
      <c r="D124" s="6"/>
      <c r="E124" s="6"/>
    </row>
    <row r="125">
      <c r="A125" s="6"/>
      <c r="B125" s="4"/>
      <c r="C125" s="4"/>
      <c r="D125" s="6"/>
      <c r="E125" s="6"/>
    </row>
    <row r="126">
      <c r="A126" s="6"/>
      <c r="B126" s="4"/>
      <c r="C126" s="4"/>
      <c r="D126" s="6"/>
      <c r="E126" s="6"/>
    </row>
    <row r="127">
      <c r="A127" s="6"/>
      <c r="B127" s="4"/>
      <c r="C127" s="4"/>
      <c r="D127" s="6"/>
      <c r="E127" s="6"/>
    </row>
    <row r="128">
      <c r="A128" s="6"/>
      <c r="B128" s="4"/>
      <c r="C128" s="4"/>
      <c r="D128" s="6"/>
      <c r="E128" s="6"/>
    </row>
    <row r="129">
      <c r="A129" s="6"/>
      <c r="B129" s="4"/>
      <c r="C129" s="4"/>
      <c r="D129" s="6"/>
      <c r="E129" s="6"/>
    </row>
    <row r="130">
      <c r="A130" s="6"/>
      <c r="B130" s="4"/>
      <c r="C130" s="4"/>
      <c r="D130" s="6"/>
      <c r="E130" s="6"/>
    </row>
    <row r="131">
      <c r="A131" s="6"/>
      <c r="B131" s="4"/>
      <c r="C131" s="4"/>
      <c r="D131" s="6"/>
      <c r="E131" s="6"/>
    </row>
    <row r="132">
      <c r="A132" s="6"/>
      <c r="B132" s="4"/>
      <c r="C132" s="4"/>
      <c r="D132" s="6"/>
      <c r="E132" s="6"/>
    </row>
    <row r="133">
      <c r="A133" s="6"/>
      <c r="B133" s="4"/>
      <c r="C133" s="4"/>
      <c r="D133" s="6"/>
      <c r="E133" s="6"/>
    </row>
    <row r="134">
      <c r="A134" s="6"/>
      <c r="B134" s="4"/>
      <c r="C134" s="4"/>
      <c r="D134" s="6"/>
      <c r="E134" s="6"/>
    </row>
    <row r="135">
      <c r="A135" s="6"/>
      <c r="B135" s="4"/>
      <c r="C135" s="4"/>
      <c r="D135" s="6"/>
      <c r="E135" s="6"/>
    </row>
    <row r="136">
      <c r="A136" s="6"/>
      <c r="B136" s="4"/>
      <c r="C136" s="4"/>
      <c r="D136" s="6"/>
      <c r="E136" s="6"/>
    </row>
    <row r="137">
      <c r="A137" s="6"/>
      <c r="B137" s="4"/>
      <c r="C137" s="4"/>
      <c r="D137" s="6"/>
      <c r="E137" s="6"/>
    </row>
    <row r="138">
      <c r="A138" s="6"/>
      <c r="B138" s="4"/>
      <c r="C138" s="4"/>
      <c r="D138" s="6"/>
      <c r="E138" s="6"/>
    </row>
    <row r="139">
      <c r="A139" s="6"/>
      <c r="B139" s="4"/>
      <c r="C139" s="4"/>
      <c r="D139" s="6"/>
      <c r="E139" s="6"/>
    </row>
    <row r="140">
      <c r="A140" s="6"/>
      <c r="B140" s="4"/>
      <c r="C140" s="4"/>
      <c r="D140" s="6"/>
      <c r="E140" s="6"/>
    </row>
    <row r="141">
      <c r="A141" s="6"/>
      <c r="B141" s="4"/>
      <c r="C141" s="4"/>
      <c r="D141" s="6"/>
      <c r="E141" s="6"/>
    </row>
    <row r="142">
      <c r="A142" s="6"/>
      <c r="B142" s="4"/>
      <c r="C142" s="4"/>
      <c r="D142" s="6"/>
      <c r="E142" s="6"/>
    </row>
    <row r="143">
      <c r="A143" s="6"/>
      <c r="B143" s="4"/>
      <c r="C143" s="4"/>
      <c r="D143" s="6"/>
      <c r="E143" s="6"/>
    </row>
    <row r="144">
      <c r="A144" s="6"/>
      <c r="B144" s="4"/>
      <c r="C144" s="4"/>
      <c r="D144" s="6"/>
      <c r="E144" s="6"/>
    </row>
    <row r="145">
      <c r="A145" s="6"/>
      <c r="B145" s="4"/>
      <c r="C145" s="4"/>
      <c r="D145" s="6"/>
      <c r="E145" s="6"/>
    </row>
    <row r="146">
      <c r="A146" s="6"/>
      <c r="B146" s="4"/>
      <c r="C146" s="4"/>
      <c r="D146" s="6"/>
      <c r="E146" s="6"/>
    </row>
    <row r="147">
      <c r="A147" s="6"/>
      <c r="B147" s="4"/>
      <c r="C147" s="4"/>
      <c r="D147" s="6"/>
      <c r="E147" s="6"/>
    </row>
    <row r="148">
      <c r="A148" s="6"/>
      <c r="B148" s="4"/>
      <c r="C148" s="4"/>
      <c r="D148" s="6"/>
      <c r="E148" s="6"/>
    </row>
    <row r="149">
      <c r="A149" s="6"/>
      <c r="B149" s="4"/>
      <c r="C149" s="4"/>
      <c r="D149" s="6"/>
      <c r="E149" s="6"/>
    </row>
    <row r="150">
      <c r="A150" s="6"/>
      <c r="B150" s="4"/>
      <c r="C150" s="4"/>
      <c r="D150" s="6"/>
      <c r="E150" s="6"/>
    </row>
    <row r="151">
      <c r="A151" s="6"/>
      <c r="B151" s="4"/>
      <c r="C151" s="4"/>
      <c r="D151" s="6"/>
      <c r="E151" s="6"/>
    </row>
    <row r="152">
      <c r="A152" s="6"/>
      <c r="B152" s="4"/>
      <c r="C152" s="4"/>
      <c r="D152" s="6"/>
      <c r="E152" s="6"/>
    </row>
    <row r="153">
      <c r="A153" s="6"/>
      <c r="B153" s="4"/>
      <c r="C153" s="4"/>
      <c r="D153" s="6"/>
      <c r="E153" s="6"/>
    </row>
    <row r="154">
      <c r="A154" s="6"/>
      <c r="B154" s="4"/>
      <c r="C154" s="4"/>
      <c r="D154" s="6"/>
      <c r="E154" s="6"/>
    </row>
    <row r="155">
      <c r="A155" s="6"/>
      <c r="B155" s="4"/>
      <c r="C155" s="4"/>
      <c r="D155" s="6"/>
      <c r="E155" s="6"/>
    </row>
    <row r="156">
      <c r="A156" s="6"/>
      <c r="B156" s="4"/>
      <c r="C156" s="4"/>
      <c r="D156" s="6"/>
      <c r="E156" s="6"/>
    </row>
    <row r="157">
      <c r="A157" s="6"/>
      <c r="B157" s="4"/>
      <c r="C157" s="4"/>
      <c r="D157" s="6"/>
      <c r="E157" s="6"/>
    </row>
    <row r="158">
      <c r="A158" s="6"/>
      <c r="B158" s="4"/>
      <c r="C158" s="4"/>
      <c r="D158" s="6"/>
      <c r="E158" s="6"/>
    </row>
    <row r="159">
      <c r="A159" s="6"/>
      <c r="B159" s="4"/>
      <c r="C159" s="4"/>
      <c r="D159" s="6"/>
      <c r="E159" s="6"/>
    </row>
    <row r="160">
      <c r="A160" s="6"/>
      <c r="B160" s="4"/>
      <c r="C160" s="4"/>
      <c r="D160" s="6"/>
      <c r="E160" s="6"/>
    </row>
    <row r="161">
      <c r="A161" s="6"/>
      <c r="B161" s="4"/>
      <c r="C161" s="4"/>
      <c r="D161" s="6"/>
      <c r="E161" s="6"/>
    </row>
    <row r="162">
      <c r="A162" s="6"/>
      <c r="B162" s="4"/>
      <c r="C162" s="4"/>
      <c r="D162" s="6"/>
      <c r="E162" s="6"/>
    </row>
    <row r="163">
      <c r="A163" s="6"/>
      <c r="B163" s="4"/>
      <c r="C163" s="4"/>
      <c r="D163" s="6"/>
      <c r="E163" s="6"/>
    </row>
    <row r="164">
      <c r="A164" s="6"/>
      <c r="B164" s="4"/>
      <c r="C164" s="4"/>
      <c r="D164" s="6"/>
      <c r="E164" s="6"/>
    </row>
    <row r="165">
      <c r="A165" s="6"/>
      <c r="B165" s="4"/>
      <c r="C165" s="4"/>
      <c r="D165" s="6"/>
      <c r="E165" s="6"/>
    </row>
    <row r="166">
      <c r="A166" s="6"/>
      <c r="B166" s="4"/>
      <c r="C166" s="4"/>
      <c r="D166" s="6"/>
      <c r="E166" s="6"/>
    </row>
    <row r="167">
      <c r="A167" s="6"/>
      <c r="B167" s="4"/>
      <c r="C167" s="4"/>
      <c r="D167" s="6"/>
      <c r="E167" s="6"/>
    </row>
    <row r="168">
      <c r="A168" s="6"/>
      <c r="B168" s="4"/>
      <c r="C168" s="4"/>
      <c r="D168" s="6"/>
      <c r="E168" s="6"/>
    </row>
    <row r="169">
      <c r="A169" s="6"/>
      <c r="B169" s="4"/>
      <c r="C169" s="4"/>
      <c r="D169" s="6"/>
      <c r="E169" s="6"/>
    </row>
    <row r="170">
      <c r="A170" s="6"/>
      <c r="B170" s="4"/>
      <c r="C170" s="4"/>
      <c r="D170" s="6"/>
      <c r="E170" s="6"/>
    </row>
    <row r="171">
      <c r="A171" s="6"/>
      <c r="B171" s="4"/>
      <c r="C171" s="4"/>
      <c r="D171" s="6"/>
      <c r="E171" s="6"/>
    </row>
    <row r="172">
      <c r="A172" s="6"/>
      <c r="B172" s="4"/>
      <c r="C172" s="4"/>
      <c r="D172" s="6"/>
      <c r="E172" s="6"/>
    </row>
    <row r="173">
      <c r="A173" s="6"/>
      <c r="B173" s="4"/>
      <c r="C173" s="4"/>
      <c r="D173" s="6"/>
      <c r="E173" s="6"/>
    </row>
    <row r="174">
      <c r="A174" s="6"/>
      <c r="B174" s="4"/>
      <c r="C174" s="4"/>
      <c r="D174" s="6"/>
      <c r="E174" s="6"/>
    </row>
    <row r="175">
      <c r="A175" s="6"/>
      <c r="B175" s="4"/>
      <c r="C175" s="4"/>
      <c r="D175" s="6"/>
      <c r="E175" s="6"/>
    </row>
    <row r="176">
      <c r="A176" s="6"/>
      <c r="B176" s="4"/>
      <c r="C176" s="4"/>
      <c r="D176" s="6"/>
      <c r="E176" s="6"/>
    </row>
    <row r="177">
      <c r="A177" s="6"/>
      <c r="B177" s="4"/>
      <c r="C177" s="4"/>
      <c r="D177" s="6"/>
      <c r="E177" s="6"/>
    </row>
    <row r="178">
      <c r="A178" s="6"/>
      <c r="B178" s="4"/>
      <c r="C178" s="4"/>
      <c r="D178" s="6"/>
      <c r="E178" s="6"/>
    </row>
    <row r="179">
      <c r="A179" s="6"/>
      <c r="B179" s="4"/>
      <c r="C179" s="4"/>
      <c r="D179" s="6"/>
      <c r="E179" s="6"/>
    </row>
    <row r="180">
      <c r="A180" s="6"/>
      <c r="B180" s="4"/>
      <c r="C180" s="4"/>
      <c r="D180" s="6"/>
      <c r="E180" s="6"/>
    </row>
    <row r="181">
      <c r="A181" s="6"/>
      <c r="B181" s="4"/>
      <c r="C181" s="4"/>
      <c r="D181" s="6"/>
      <c r="E181" s="6"/>
    </row>
    <row r="182">
      <c r="A182" s="6"/>
      <c r="B182" s="4"/>
      <c r="C182" s="4"/>
      <c r="D182" s="6"/>
      <c r="E182" s="6"/>
    </row>
    <row r="183">
      <c r="A183" s="6"/>
      <c r="B183" s="4"/>
      <c r="C183" s="4"/>
      <c r="D183" s="6"/>
      <c r="E183" s="6"/>
    </row>
    <row r="184">
      <c r="A184" s="6"/>
      <c r="B184" s="4"/>
      <c r="C184" s="4"/>
      <c r="D184" s="6"/>
      <c r="E184" s="6"/>
    </row>
    <row r="185">
      <c r="A185" s="6"/>
      <c r="B185" s="4"/>
      <c r="C185" s="4"/>
      <c r="D185" s="6"/>
      <c r="E185" s="6"/>
    </row>
    <row r="186">
      <c r="A186" s="6"/>
      <c r="B186" s="4"/>
      <c r="C186" s="4"/>
      <c r="D186" s="6"/>
      <c r="E186" s="6"/>
    </row>
    <row r="187">
      <c r="A187" s="6"/>
      <c r="B187" s="4"/>
      <c r="C187" s="4"/>
      <c r="D187" s="6"/>
      <c r="E187" s="6"/>
    </row>
    <row r="188">
      <c r="A188" s="6"/>
      <c r="B188" s="4"/>
      <c r="C188" s="4"/>
      <c r="D188" s="6"/>
      <c r="E188" s="6"/>
    </row>
    <row r="189">
      <c r="A189" s="6"/>
      <c r="B189" s="4"/>
      <c r="C189" s="4"/>
      <c r="D189" s="6"/>
      <c r="E189" s="6"/>
    </row>
    <row r="190">
      <c r="A190" s="6"/>
      <c r="B190" s="4"/>
      <c r="C190" s="4"/>
      <c r="D190" s="6"/>
      <c r="E190" s="6"/>
    </row>
    <row r="191">
      <c r="A191" s="6"/>
      <c r="B191" s="4"/>
      <c r="C191" s="4"/>
      <c r="D191" s="6"/>
      <c r="E191" s="6"/>
    </row>
    <row r="192">
      <c r="A192" s="6"/>
      <c r="B192" s="4"/>
      <c r="C192" s="4"/>
      <c r="D192" s="6"/>
      <c r="E192" s="6"/>
    </row>
    <row r="193">
      <c r="A193" s="6"/>
      <c r="B193" s="4"/>
      <c r="C193" s="4"/>
      <c r="D193" s="6"/>
      <c r="E193" s="6"/>
    </row>
    <row r="194">
      <c r="A194" s="6"/>
      <c r="B194" s="4"/>
      <c r="C194" s="4"/>
      <c r="D194" s="6"/>
      <c r="E194" s="6"/>
    </row>
    <row r="195">
      <c r="A195" s="6"/>
      <c r="B195" s="4"/>
      <c r="C195" s="4"/>
      <c r="D195" s="6"/>
      <c r="E195" s="6"/>
    </row>
    <row r="196">
      <c r="A196" s="6"/>
      <c r="B196" s="4"/>
      <c r="C196" s="4"/>
      <c r="D196" s="6"/>
      <c r="E196" s="6"/>
    </row>
    <row r="197">
      <c r="A197" s="6"/>
      <c r="B197" s="4"/>
      <c r="C197" s="4"/>
      <c r="D197" s="6"/>
      <c r="E197" s="6"/>
    </row>
    <row r="198">
      <c r="A198" s="6"/>
      <c r="B198" s="4"/>
      <c r="C198" s="4"/>
      <c r="D198" s="6"/>
      <c r="E198" s="6"/>
    </row>
    <row r="199">
      <c r="A199" s="6"/>
      <c r="B199" s="4"/>
      <c r="C199" s="4"/>
      <c r="D199" s="6"/>
      <c r="E199" s="6"/>
    </row>
    <row r="200">
      <c r="A200" s="6"/>
      <c r="B200" s="4"/>
      <c r="C200" s="4"/>
      <c r="D200" s="6"/>
      <c r="E200" s="6"/>
    </row>
    <row r="201">
      <c r="A201" s="6"/>
      <c r="B201" s="4"/>
      <c r="C201" s="4"/>
      <c r="D201" s="6"/>
      <c r="E201" s="6"/>
    </row>
    <row r="202">
      <c r="A202" s="6"/>
      <c r="B202" s="4"/>
      <c r="C202" s="4"/>
      <c r="D202" s="6"/>
      <c r="E202" s="6"/>
    </row>
    <row r="203">
      <c r="A203" s="6"/>
      <c r="B203" s="4"/>
      <c r="C203" s="4"/>
      <c r="D203" s="6"/>
      <c r="E203" s="6"/>
    </row>
    <row r="204">
      <c r="A204" s="6"/>
      <c r="B204" s="4"/>
      <c r="C204" s="4"/>
      <c r="D204" s="6"/>
      <c r="E204" s="6"/>
    </row>
    <row r="205">
      <c r="A205" s="6"/>
      <c r="B205" s="4"/>
      <c r="C205" s="4"/>
      <c r="D205" s="6"/>
      <c r="E205" s="6"/>
    </row>
    <row r="206">
      <c r="A206" s="6"/>
      <c r="B206" s="4"/>
      <c r="C206" s="4"/>
      <c r="D206" s="6"/>
      <c r="E206" s="6"/>
    </row>
    <row r="207">
      <c r="A207" s="6"/>
      <c r="B207" s="4"/>
      <c r="C207" s="4"/>
      <c r="D207" s="6"/>
      <c r="E207" s="6"/>
    </row>
    <row r="208">
      <c r="A208" s="6"/>
      <c r="B208" s="4"/>
      <c r="C208" s="4"/>
      <c r="D208" s="6"/>
      <c r="E208" s="6"/>
    </row>
    <row r="209">
      <c r="A209" s="6"/>
      <c r="B209" s="4"/>
      <c r="C209" s="4"/>
      <c r="D209" s="6"/>
      <c r="E209" s="6"/>
    </row>
    <row r="210">
      <c r="A210" s="6"/>
      <c r="B210" s="4"/>
      <c r="C210" s="4"/>
      <c r="D210" s="6"/>
      <c r="E210" s="6"/>
    </row>
    <row r="211">
      <c r="A211" s="6"/>
      <c r="B211" s="4"/>
      <c r="C211" s="4"/>
      <c r="D211" s="6"/>
      <c r="E211" s="6"/>
    </row>
    <row r="212">
      <c r="A212" s="6"/>
      <c r="B212" s="4"/>
      <c r="C212" s="4"/>
      <c r="D212" s="6"/>
      <c r="E212" s="6"/>
    </row>
    <row r="213">
      <c r="A213" s="6"/>
      <c r="B213" s="4"/>
      <c r="C213" s="4"/>
      <c r="D213" s="6"/>
      <c r="E213" s="6"/>
    </row>
    <row r="214">
      <c r="A214" s="6"/>
      <c r="B214" s="4"/>
      <c r="C214" s="4"/>
      <c r="D214" s="6"/>
      <c r="E214" s="6"/>
    </row>
    <row r="215">
      <c r="A215" s="6"/>
      <c r="B215" s="4"/>
      <c r="C215" s="4"/>
      <c r="D215" s="6"/>
      <c r="E215" s="6"/>
    </row>
    <row r="216">
      <c r="A216" s="6"/>
      <c r="B216" s="4"/>
      <c r="C216" s="4"/>
      <c r="D216" s="6"/>
      <c r="E216" s="6"/>
    </row>
    <row r="217">
      <c r="A217" s="6"/>
      <c r="B217" s="4"/>
      <c r="C217" s="4"/>
      <c r="D217" s="6"/>
      <c r="E217" s="6"/>
    </row>
    <row r="218">
      <c r="A218" s="6"/>
      <c r="B218" s="4"/>
      <c r="C218" s="4"/>
      <c r="D218" s="6"/>
      <c r="E218" s="6"/>
    </row>
    <row r="219">
      <c r="A219" s="6"/>
      <c r="B219" s="4"/>
      <c r="C219" s="4"/>
      <c r="D219" s="6"/>
      <c r="E219" s="6"/>
    </row>
    <row r="220">
      <c r="A220" s="6"/>
      <c r="B220" s="4"/>
      <c r="C220" s="4"/>
      <c r="D220" s="6"/>
      <c r="E220" s="6"/>
    </row>
    <row r="221">
      <c r="A221" s="6"/>
      <c r="B221" s="4"/>
      <c r="C221" s="4"/>
      <c r="D221" s="6"/>
      <c r="E221" s="6"/>
    </row>
    <row r="222">
      <c r="A222" s="6"/>
      <c r="B222" s="4"/>
      <c r="C222" s="4"/>
      <c r="D222" s="6"/>
      <c r="E222" s="6"/>
    </row>
    <row r="223">
      <c r="A223" s="6"/>
      <c r="B223" s="4"/>
      <c r="C223" s="4"/>
      <c r="D223" s="6"/>
      <c r="E223" s="6"/>
    </row>
    <row r="224">
      <c r="A224" s="6"/>
      <c r="B224" s="4"/>
      <c r="C224" s="4"/>
      <c r="D224" s="6"/>
      <c r="E224" s="6"/>
    </row>
    <row r="225">
      <c r="A225" s="6"/>
      <c r="B225" s="4"/>
      <c r="C225" s="4"/>
      <c r="D225" s="6"/>
      <c r="E225" s="6"/>
    </row>
    <row r="226">
      <c r="A226" s="6"/>
      <c r="B226" s="4"/>
      <c r="C226" s="4"/>
      <c r="D226" s="6"/>
      <c r="E226" s="6"/>
    </row>
    <row r="227">
      <c r="A227" s="6"/>
      <c r="B227" s="4"/>
      <c r="C227" s="4"/>
      <c r="D227" s="6"/>
      <c r="E227" s="6"/>
    </row>
    <row r="228">
      <c r="A228" s="6"/>
      <c r="B228" s="4"/>
      <c r="C228" s="4"/>
      <c r="D228" s="6"/>
      <c r="E228" s="6"/>
    </row>
    <row r="229">
      <c r="A229" s="6"/>
      <c r="B229" s="4"/>
      <c r="C229" s="4"/>
      <c r="D229" s="6"/>
      <c r="E229" s="6"/>
    </row>
    <row r="230">
      <c r="A230" s="6"/>
      <c r="B230" s="4"/>
      <c r="C230" s="4"/>
      <c r="D230" s="6"/>
      <c r="E230" s="6"/>
    </row>
    <row r="231">
      <c r="A231" s="6"/>
      <c r="B231" s="4"/>
      <c r="C231" s="4"/>
      <c r="D231" s="6"/>
      <c r="E231" s="6"/>
    </row>
    <row r="232">
      <c r="A232" s="6"/>
      <c r="B232" s="4"/>
      <c r="C232" s="4"/>
      <c r="D232" s="6"/>
      <c r="E232" s="6"/>
    </row>
    <row r="233">
      <c r="A233" s="6"/>
      <c r="B233" s="4"/>
      <c r="C233" s="4"/>
      <c r="D233" s="6"/>
      <c r="E233" s="6"/>
    </row>
    <row r="234">
      <c r="A234" s="6"/>
      <c r="B234" s="4"/>
      <c r="C234" s="4"/>
      <c r="D234" s="6"/>
      <c r="E234" s="6"/>
    </row>
    <row r="235">
      <c r="A235" s="6"/>
      <c r="B235" s="4"/>
      <c r="C235" s="4"/>
      <c r="D235" s="6"/>
      <c r="E235" s="6"/>
    </row>
    <row r="236">
      <c r="A236" s="6"/>
      <c r="B236" s="4"/>
      <c r="C236" s="4"/>
      <c r="D236" s="6"/>
      <c r="E236" s="6"/>
    </row>
    <row r="237">
      <c r="A237" s="6"/>
      <c r="B237" s="4"/>
      <c r="C237" s="4"/>
      <c r="D237" s="6"/>
      <c r="E237" s="6"/>
    </row>
    <row r="238">
      <c r="A238" s="6"/>
      <c r="B238" s="4"/>
      <c r="C238" s="4"/>
      <c r="D238" s="6"/>
      <c r="E238" s="6"/>
    </row>
    <row r="239">
      <c r="A239" s="6"/>
      <c r="B239" s="4"/>
      <c r="C239" s="4"/>
      <c r="D239" s="6"/>
      <c r="E239" s="6"/>
    </row>
    <row r="240">
      <c r="A240" s="6"/>
      <c r="B240" s="4"/>
      <c r="C240" s="4"/>
      <c r="D240" s="6"/>
      <c r="E240" s="6"/>
    </row>
    <row r="241">
      <c r="A241" s="6"/>
      <c r="B241" s="4"/>
      <c r="C241" s="4"/>
      <c r="D241" s="6"/>
      <c r="E241" s="6"/>
    </row>
    <row r="242">
      <c r="A242" s="6"/>
      <c r="B242" s="4"/>
      <c r="C242" s="4"/>
      <c r="D242" s="6"/>
      <c r="E242" s="6"/>
    </row>
    <row r="243">
      <c r="A243" s="6"/>
      <c r="B243" s="4"/>
      <c r="C243" s="4"/>
      <c r="D243" s="6"/>
      <c r="E243" s="6"/>
    </row>
    <row r="244">
      <c r="A244" s="6"/>
      <c r="B244" s="4"/>
      <c r="C244" s="4"/>
      <c r="D244" s="6"/>
      <c r="E244" s="6"/>
    </row>
    <row r="245">
      <c r="A245" s="6"/>
      <c r="B245" s="4"/>
      <c r="C245" s="4"/>
      <c r="D245" s="6"/>
      <c r="E245" s="6"/>
    </row>
    <row r="246">
      <c r="A246" s="6"/>
      <c r="B246" s="4"/>
      <c r="C246" s="4"/>
      <c r="D246" s="6"/>
      <c r="E246" s="6"/>
    </row>
    <row r="247">
      <c r="A247" s="6"/>
      <c r="B247" s="4"/>
      <c r="C247" s="4"/>
      <c r="D247" s="6"/>
      <c r="E247" s="6"/>
    </row>
    <row r="248">
      <c r="A248" s="6"/>
      <c r="B248" s="4"/>
      <c r="C248" s="4"/>
      <c r="D248" s="6"/>
      <c r="E248" s="6"/>
    </row>
    <row r="249">
      <c r="A249" s="6"/>
      <c r="B249" s="4"/>
      <c r="C249" s="4"/>
      <c r="D249" s="6"/>
      <c r="E249" s="6"/>
    </row>
    <row r="250">
      <c r="A250" s="6"/>
      <c r="B250" s="4"/>
      <c r="C250" s="4"/>
      <c r="D250" s="6"/>
      <c r="E250" s="6"/>
    </row>
    <row r="251">
      <c r="A251" s="6"/>
      <c r="B251" s="4"/>
      <c r="C251" s="4"/>
      <c r="D251" s="6"/>
      <c r="E251" s="6"/>
    </row>
    <row r="252">
      <c r="A252" s="6"/>
      <c r="B252" s="4"/>
      <c r="C252" s="4"/>
      <c r="D252" s="6"/>
      <c r="E252" s="6"/>
    </row>
    <row r="253">
      <c r="A253" s="6"/>
      <c r="B253" s="4"/>
      <c r="C253" s="4"/>
      <c r="D253" s="6"/>
      <c r="E253" s="6"/>
    </row>
    <row r="254">
      <c r="A254" s="6"/>
      <c r="B254" s="4"/>
      <c r="C254" s="4"/>
      <c r="D254" s="6"/>
      <c r="E254" s="6"/>
    </row>
    <row r="255">
      <c r="A255" s="6"/>
      <c r="B255" s="4"/>
      <c r="C255" s="4"/>
      <c r="D255" s="6"/>
      <c r="E255" s="6"/>
    </row>
    <row r="256">
      <c r="A256" s="6"/>
      <c r="B256" s="4"/>
      <c r="C256" s="4"/>
      <c r="D256" s="6"/>
      <c r="E256" s="6"/>
    </row>
    <row r="257">
      <c r="A257" s="6"/>
      <c r="B257" s="4"/>
      <c r="C257" s="4"/>
      <c r="D257" s="6"/>
      <c r="E257" s="6"/>
    </row>
    <row r="258">
      <c r="A258" s="6"/>
      <c r="B258" s="4"/>
      <c r="C258" s="4"/>
      <c r="D258" s="6"/>
      <c r="E258" s="6"/>
    </row>
    <row r="259">
      <c r="A259" s="6"/>
      <c r="B259" s="4"/>
      <c r="C259" s="4"/>
      <c r="D259" s="6"/>
      <c r="E259" s="6"/>
    </row>
    <row r="260">
      <c r="A260" s="6"/>
      <c r="B260" s="4"/>
      <c r="C260" s="4"/>
      <c r="D260" s="6"/>
      <c r="E260" s="6"/>
    </row>
    <row r="261">
      <c r="A261" s="6"/>
      <c r="B261" s="4"/>
      <c r="C261" s="4"/>
      <c r="D261" s="6"/>
      <c r="E261" s="6"/>
    </row>
    <row r="262">
      <c r="A262" s="6"/>
      <c r="B262" s="4"/>
      <c r="C262" s="4"/>
      <c r="D262" s="6"/>
      <c r="E262" s="6"/>
    </row>
    <row r="263">
      <c r="A263" s="6"/>
      <c r="B263" s="4"/>
      <c r="C263" s="4"/>
      <c r="D263" s="6"/>
      <c r="E263" s="6"/>
    </row>
    <row r="264">
      <c r="A264" s="6"/>
      <c r="B264" s="4"/>
      <c r="C264" s="4"/>
      <c r="D264" s="6"/>
      <c r="E264" s="6"/>
    </row>
    <row r="265">
      <c r="A265" s="6"/>
      <c r="B265" s="4"/>
      <c r="C265" s="4"/>
      <c r="D265" s="6"/>
      <c r="E265" s="6"/>
    </row>
    <row r="266">
      <c r="A266" s="6"/>
      <c r="B266" s="4"/>
      <c r="C266" s="4"/>
      <c r="D266" s="6"/>
      <c r="E266" s="6"/>
    </row>
    <row r="267">
      <c r="A267" s="6"/>
      <c r="B267" s="4"/>
      <c r="C267" s="4"/>
      <c r="D267" s="6"/>
      <c r="E267" s="6"/>
    </row>
    <row r="268">
      <c r="A268" s="6"/>
      <c r="B268" s="4"/>
      <c r="C268" s="4"/>
      <c r="D268" s="6"/>
      <c r="E268" s="6"/>
    </row>
    <row r="269">
      <c r="A269" s="6"/>
      <c r="B269" s="4"/>
      <c r="C269" s="4"/>
      <c r="D269" s="6"/>
      <c r="E269" s="6"/>
    </row>
    <row r="270">
      <c r="A270" s="6"/>
      <c r="B270" s="4"/>
      <c r="C270" s="4"/>
      <c r="D270" s="6"/>
      <c r="E270" s="6"/>
    </row>
    <row r="271">
      <c r="A271" s="6"/>
      <c r="B271" s="4"/>
      <c r="C271" s="4"/>
      <c r="D271" s="6"/>
      <c r="E271" s="6"/>
    </row>
    <row r="272">
      <c r="A272" s="6"/>
      <c r="B272" s="4"/>
      <c r="C272" s="4"/>
      <c r="D272" s="6"/>
      <c r="E272" s="6"/>
    </row>
    <row r="273">
      <c r="A273" s="6"/>
      <c r="B273" s="4"/>
      <c r="C273" s="4"/>
      <c r="D273" s="6"/>
      <c r="E273" s="6"/>
    </row>
    <row r="274">
      <c r="A274" s="6"/>
      <c r="B274" s="4"/>
      <c r="C274" s="4"/>
      <c r="D274" s="6"/>
      <c r="E274" s="6"/>
    </row>
    <row r="275">
      <c r="A275" s="6"/>
      <c r="B275" s="4"/>
      <c r="C275" s="4"/>
      <c r="D275" s="6"/>
      <c r="E275" s="6"/>
    </row>
    <row r="276">
      <c r="A276" s="6"/>
      <c r="B276" s="4"/>
      <c r="C276" s="4"/>
      <c r="D276" s="6"/>
      <c r="E276" s="6"/>
    </row>
    <row r="277">
      <c r="A277" s="6"/>
      <c r="B277" s="4"/>
      <c r="C277" s="4"/>
      <c r="D277" s="6"/>
      <c r="E277" s="6"/>
    </row>
    <row r="278">
      <c r="A278" s="6"/>
      <c r="B278" s="4"/>
      <c r="C278" s="4"/>
      <c r="D278" s="6"/>
      <c r="E278" s="6"/>
    </row>
    <row r="279">
      <c r="A279" s="6"/>
      <c r="B279" s="4"/>
      <c r="C279" s="4"/>
      <c r="D279" s="6"/>
      <c r="E279" s="6"/>
    </row>
    <row r="280">
      <c r="A280" s="6"/>
      <c r="B280" s="4"/>
      <c r="C280" s="4"/>
      <c r="D280" s="6"/>
      <c r="E280" s="6"/>
    </row>
    <row r="281">
      <c r="A281" s="6"/>
      <c r="B281" s="4"/>
      <c r="C281" s="4"/>
      <c r="D281" s="6"/>
      <c r="E281" s="6"/>
    </row>
    <row r="282">
      <c r="A282" s="6"/>
      <c r="B282" s="4"/>
      <c r="C282" s="4"/>
      <c r="D282" s="6"/>
      <c r="E282" s="6"/>
    </row>
    <row r="283">
      <c r="A283" s="6"/>
      <c r="B283" s="4"/>
      <c r="C283" s="4"/>
      <c r="D283" s="6"/>
      <c r="E283" s="6"/>
    </row>
    <row r="284">
      <c r="A284" s="6"/>
      <c r="B284" s="4"/>
      <c r="C284" s="4"/>
      <c r="D284" s="6"/>
      <c r="E284" s="6"/>
    </row>
    <row r="285">
      <c r="A285" s="6"/>
      <c r="B285" s="4"/>
      <c r="C285" s="4"/>
      <c r="D285" s="6"/>
      <c r="E285" s="6"/>
    </row>
    <row r="286">
      <c r="A286" s="6"/>
      <c r="B286" s="4"/>
      <c r="C286" s="4"/>
      <c r="D286" s="6"/>
      <c r="E286" s="6"/>
    </row>
    <row r="287">
      <c r="A287" s="6"/>
      <c r="B287" s="4"/>
      <c r="C287" s="4"/>
      <c r="D287" s="6"/>
      <c r="E287" s="6"/>
    </row>
    <row r="288">
      <c r="A288" s="6"/>
      <c r="B288" s="4"/>
      <c r="C288" s="4"/>
      <c r="D288" s="6"/>
      <c r="E288" s="6"/>
    </row>
    <row r="289">
      <c r="A289" s="6"/>
      <c r="B289" s="4"/>
      <c r="C289" s="4"/>
      <c r="D289" s="6"/>
      <c r="E289" s="6"/>
    </row>
    <row r="290">
      <c r="A290" s="6"/>
      <c r="B290" s="4"/>
      <c r="C290" s="4"/>
      <c r="D290" s="6"/>
      <c r="E290" s="6"/>
    </row>
    <row r="291">
      <c r="A291" s="6"/>
      <c r="B291" s="4"/>
      <c r="C291" s="4"/>
      <c r="D291" s="6"/>
      <c r="E291" s="6"/>
    </row>
    <row r="292">
      <c r="A292" s="6"/>
      <c r="B292" s="4"/>
      <c r="C292" s="4"/>
      <c r="D292" s="6"/>
      <c r="E292" s="6"/>
    </row>
    <row r="293">
      <c r="A293" s="6"/>
      <c r="B293" s="4"/>
      <c r="C293" s="4"/>
      <c r="D293" s="6"/>
      <c r="E293" s="6"/>
    </row>
    <row r="294">
      <c r="A294" s="6"/>
      <c r="B294" s="4"/>
      <c r="C294" s="4"/>
      <c r="D294" s="6"/>
      <c r="E294" s="6"/>
    </row>
    <row r="295">
      <c r="A295" s="6"/>
      <c r="B295" s="4"/>
      <c r="C295" s="4"/>
      <c r="D295" s="6"/>
      <c r="E295" s="6"/>
    </row>
    <row r="296">
      <c r="A296" s="6"/>
      <c r="B296" s="4"/>
      <c r="C296" s="4"/>
      <c r="D296" s="6"/>
      <c r="E296" s="6"/>
    </row>
    <row r="297">
      <c r="A297" s="6"/>
      <c r="B297" s="4"/>
      <c r="C297" s="4"/>
      <c r="D297" s="6"/>
      <c r="E297" s="6"/>
    </row>
    <row r="298">
      <c r="A298" s="6"/>
      <c r="B298" s="4"/>
      <c r="C298" s="4"/>
      <c r="D298" s="6"/>
      <c r="E298" s="6"/>
    </row>
    <row r="299">
      <c r="A299" s="6"/>
      <c r="B299" s="4"/>
      <c r="C299" s="4"/>
      <c r="D299" s="6"/>
      <c r="E299" s="6"/>
    </row>
    <row r="300">
      <c r="A300" s="6"/>
      <c r="B300" s="4"/>
      <c r="C300" s="4"/>
      <c r="D300" s="6"/>
      <c r="E300" s="6"/>
    </row>
    <row r="301">
      <c r="A301" s="6"/>
      <c r="B301" s="4"/>
      <c r="C301" s="4"/>
      <c r="D301" s="6"/>
      <c r="E301" s="6"/>
    </row>
    <row r="302">
      <c r="A302" s="6"/>
      <c r="B302" s="4"/>
      <c r="C302" s="4"/>
      <c r="D302" s="6"/>
      <c r="E302" s="6"/>
    </row>
    <row r="303">
      <c r="A303" s="6"/>
      <c r="B303" s="4"/>
      <c r="C303" s="4"/>
      <c r="D303" s="6"/>
      <c r="E303" s="6"/>
    </row>
    <row r="304">
      <c r="A304" s="6"/>
      <c r="B304" s="4"/>
      <c r="C304" s="4"/>
      <c r="D304" s="6"/>
      <c r="E304" s="6"/>
    </row>
    <row r="305">
      <c r="A305" s="6"/>
      <c r="B305" s="4"/>
      <c r="C305" s="4"/>
      <c r="D305" s="6"/>
      <c r="E305" s="6"/>
    </row>
    <row r="306">
      <c r="A306" s="6"/>
      <c r="B306" s="4"/>
      <c r="C306" s="4"/>
      <c r="D306" s="6"/>
      <c r="E306" s="6"/>
    </row>
    <row r="307">
      <c r="A307" s="6"/>
      <c r="B307" s="4"/>
      <c r="C307" s="4"/>
      <c r="D307" s="6"/>
      <c r="E307" s="6"/>
    </row>
    <row r="308">
      <c r="A308" s="6"/>
      <c r="B308" s="4"/>
      <c r="C308" s="4"/>
      <c r="D308" s="6"/>
      <c r="E308" s="6"/>
    </row>
    <row r="309">
      <c r="A309" s="6"/>
      <c r="B309" s="4"/>
      <c r="C309" s="4"/>
      <c r="D309" s="6"/>
      <c r="E309" s="6"/>
    </row>
    <row r="310">
      <c r="A310" s="6"/>
      <c r="B310" s="4"/>
      <c r="C310" s="4"/>
      <c r="D310" s="6"/>
      <c r="E310" s="6"/>
    </row>
    <row r="311">
      <c r="A311" s="6"/>
      <c r="B311" s="4"/>
      <c r="C311" s="4"/>
      <c r="D311" s="6"/>
      <c r="E311" s="6"/>
    </row>
    <row r="312">
      <c r="A312" s="6"/>
      <c r="B312" s="4"/>
      <c r="C312" s="4"/>
      <c r="D312" s="6"/>
      <c r="E312" s="6"/>
    </row>
    <row r="313">
      <c r="A313" s="6"/>
      <c r="B313" s="4"/>
      <c r="C313" s="4"/>
      <c r="D313" s="6"/>
      <c r="E313" s="6"/>
    </row>
    <row r="314">
      <c r="A314" s="6"/>
      <c r="B314" s="4"/>
      <c r="C314" s="4"/>
      <c r="D314" s="6"/>
      <c r="E314" s="6"/>
    </row>
    <row r="315">
      <c r="A315" s="6"/>
      <c r="B315" s="4"/>
      <c r="C315" s="4"/>
      <c r="D315" s="6"/>
      <c r="E315" s="6"/>
    </row>
    <row r="316">
      <c r="A316" s="6"/>
      <c r="B316" s="4"/>
      <c r="C316" s="4"/>
      <c r="D316" s="6"/>
      <c r="E316" s="6"/>
    </row>
    <row r="317">
      <c r="A317" s="6"/>
      <c r="B317" s="4"/>
      <c r="C317" s="4"/>
      <c r="D317" s="6"/>
      <c r="E317" s="6"/>
    </row>
    <row r="318">
      <c r="A318" s="6"/>
      <c r="B318" s="4"/>
      <c r="C318" s="4"/>
      <c r="D318" s="6"/>
      <c r="E318" s="6"/>
    </row>
    <row r="319">
      <c r="A319" s="6"/>
      <c r="B319" s="4"/>
      <c r="C319" s="4"/>
      <c r="D319" s="6"/>
      <c r="E319" s="6"/>
    </row>
    <row r="320">
      <c r="A320" s="6"/>
      <c r="B320" s="4"/>
      <c r="C320" s="4"/>
      <c r="D320" s="6"/>
      <c r="E320" s="6"/>
    </row>
    <row r="321">
      <c r="A321" s="6"/>
      <c r="B321" s="4"/>
      <c r="C321" s="4"/>
      <c r="D321" s="6"/>
      <c r="E321" s="6"/>
    </row>
    <row r="322">
      <c r="A322" s="6"/>
      <c r="B322" s="4"/>
      <c r="C322" s="4"/>
      <c r="D322" s="6"/>
      <c r="E322" s="6"/>
    </row>
    <row r="323">
      <c r="A323" s="6"/>
      <c r="B323" s="4"/>
      <c r="C323" s="4"/>
      <c r="D323" s="6"/>
      <c r="E323" s="6"/>
    </row>
    <row r="324">
      <c r="A324" s="6"/>
      <c r="B324" s="4"/>
      <c r="C324" s="4"/>
      <c r="D324" s="6"/>
      <c r="E324" s="6"/>
    </row>
    <row r="325">
      <c r="A325" s="6"/>
      <c r="B325" s="4"/>
      <c r="C325" s="4"/>
      <c r="D325" s="6"/>
      <c r="E325" s="6"/>
    </row>
    <row r="326">
      <c r="A326" s="6"/>
      <c r="B326" s="4"/>
      <c r="C326" s="4"/>
      <c r="D326" s="6"/>
      <c r="E326" s="6"/>
    </row>
    <row r="327">
      <c r="A327" s="6"/>
      <c r="B327" s="4"/>
      <c r="C327" s="4"/>
      <c r="D327" s="6"/>
      <c r="E327" s="6"/>
    </row>
    <row r="328">
      <c r="A328" s="6"/>
      <c r="B328" s="4"/>
      <c r="C328" s="4"/>
      <c r="D328" s="6"/>
      <c r="E328" s="6"/>
    </row>
    <row r="329">
      <c r="A329" s="6"/>
      <c r="B329" s="4"/>
      <c r="C329" s="4"/>
      <c r="D329" s="6"/>
      <c r="E329" s="6"/>
    </row>
    <row r="330">
      <c r="A330" s="6"/>
      <c r="B330" s="4"/>
      <c r="C330" s="4"/>
      <c r="D330" s="6"/>
      <c r="E330" s="6"/>
    </row>
    <row r="331">
      <c r="A331" s="6"/>
      <c r="B331" s="4"/>
      <c r="C331" s="4"/>
      <c r="D331" s="6"/>
      <c r="E331" s="6"/>
    </row>
    <row r="332">
      <c r="A332" s="6"/>
      <c r="B332" s="4"/>
      <c r="C332" s="4"/>
      <c r="D332" s="6"/>
      <c r="E332" s="6"/>
    </row>
    <row r="333">
      <c r="A333" s="6"/>
      <c r="B333" s="4"/>
      <c r="C333" s="4"/>
      <c r="D333" s="6"/>
      <c r="E333" s="6"/>
    </row>
    <row r="334">
      <c r="A334" s="6"/>
      <c r="B334" s="4"/>
      <c r="C334" s="4"/>
      <c r="D334" s="6"/>
      <c r="E334" s="6"/>
    </row>
    <row r="335">
      <c r="A335" s="6"/>
      <c r="B335" s="4"/>
      <c r="C335" s="4"/>
      <c r="D335" s="6"/>
      <c r="E335" s="6"/>
    </row>
    <row r="336">
      <c r="A336" s="6"/>
      <c r="B336" s="4"/>
      <c r="C336" s="4"/>
      <c r="D336" s="6"/>
      <c r="E336" s="6"/>
    </row>
    <row r="337">
      <c r="A337" s="6"/>
      <c r="B337" s="4"/>
      <c r="C337" s="4"/>
      <c r="D337" s="6"/>
      <c r="E337" s="6"/>
    </row>
    <row r="338">
      <c r="A338" s="6"/>
      <c r="B338" s="4"/>
      <c r="C338" s="4"/>
      <c r="D338" s="6"/>
      <c r="E338" s="6"/>
    </row>
    <row r="339">
      <c r="A339" s="6"/>
      <c r="B339" s="4"/>
      <c r="C339" s="4"/>
      <c r="D339" s="6"/>
      <c r="E339" s="6"/>
    </row>
    <row r="340">
      <c r="A340" s="6"/>
      <c r="B340" s="4"/>
      <c r="C340" s="4"/>
      <c r="D340" s="6"/>
      <c r="E340" s="6"/>
    </row>
    <row r="341">
      <c r="A341" s="6"/>
      <c r="B341" s="4"/>
      <c r="C341" s="4"/>
      <c r="D341" s="6"/>
      <c r="E341" s="6"/>
    </row>
    <row r="342">
      <c r="A342" s="6"/>
      <c r="B342" s="4"/>
      <c r="C342" s="4"/>
      <c r="D342" s="6"/>
      <c r="E342" s="6"/>
    </row>
    <row r="343">
      <c r="A343" s="6"/>
      <c r="B343" s="4"/>
      <c r="C343" s="4"/>
      <c r="D343" s="6"/>
      <c r="E343" s="6"/>
    </row>
    <row r="344">
      <c r="A344" s="6"/>
      <c r="B344" s="4"/>
      <c r="C344" s="4"/>
      <c r="D344" s="6"/>
      <c r="E344" s="6"/>
    </row>
    <row r="345">
      <c r="A345" s="6"/>
      <c r="B345" s="4"/>
      <c r="C345" s="4"/>
      <c r="D345" s="6"/>
      <c r="E345" s="6"/>
    </row>
    <row r="346">
      <c r="A346" s="6"/>
      <c r="B346" s="4"/>
      <c r="C346" s="4"/>
      <c r="D346" s="6"/>
      <c r="E346" s="6"/>
    </row>
    <row r="347">
      <c r="A347" s="6"/>
      <c r="B347" s="4"/>
      <c r="C347" s="4"/>
      <c r="D347" s="6"/>
      <c r="E347" s="6"/>
    </row>
    <row r="348">
      <c r="A348" s="6"/>
      <c r="B348" s="4"/>
      <c r="C348" s="4"/>
      <c r="D348" s="6"/>
      <c r="E348" s="6"/>
    </row>
    <row r="349">
      <c r="A349" s="6"/>
      <c r="B349" s="4"/>
      <c r="C349" s="4"/>
      <c r="D349" s="6"/>
      <c r="E349" s="6"/>
    </row>
    <row r="350">
      <c r="A350" s="6"/>
      <c r="B350" s="4"/>
      <c r="C350" s="4"/>
      <c r="D350" s="6"/>
      <c r="E350" s="6"/>
    </row>
    <row r="351">
      <c r="A351" s="6"/>
      <c r="B351" s="4"/>
      <c r="C351" s="4"/>
      <c r="D351" s="6"/>
      <c r="E351" s="6"/>
    </row>
    <row r="352">
      <c r="A352" s="6"/>
      <c r="B352" s="4"/>
      <c r="C352" s="4"/>
      <c r="D352" s="6"/>
      <c r="E352" s="6"/>
    </row>
    <row r="353">
      <c r="A353" s="6"/>
      <c r="B353" s="4"/>
      <c r="C353" s="4"/>
      <c r="D353" s="6"/>
      <c r="E353" s="6"/>
    </row>
    <row r="354">
      <c r="A354" s="6"/>
      <c r="B354" s="4"/>
      <c r="C354" s="4"/>
      <c r="D354" s="6"/>
      <c r="E354" s="6"/>
    </row>
    <row r="355">
      <c r="A355" s="6"/>
      <c r="B355" s="4"/>
      <c r="C355" s="4"/>
      <c r="D355" s="6"/>
      <c r="E355" s="6"/>
    </row>
    <row r="356">
      <c r="A356" s="6"/>
      <c r="B356" s="4"/>
      <c r="C356" s="4"/>
      <c r="D356" s="6"/>
      <c r="E356" s="6"/>
    </row>
    <row r="357">
      <c r="A357" s="6"/>
      <c r="B357" s="4"/>
      <c r="C357" s="4"/>
      <c r="D357" s="6"/>
      <c r="E357" s="6"/>
    </row>
    <row r="358">
      <c r="A358" s="6"/>
      <c r="B358" s="4"/>
      <c r="C358" s="4"/>
      <c r="D358" s="6"/>
      <c r="E358" s="6"/>
    </row>
    <row r="359">
      <c r="A359" s="6"/>
      <c r="B359" s="4"/>
      <c r="C359" s="4"/>
      <c r="D359" s="6"/>
      <c r="E359" s="6"/>
    </row>
    <row r="360">
      <c r="A360" s="6"/>
      <c r="B360" s="4"/>
      <c r="C360" s="4"/>
      <c r="D360" s="6"/>
      <c r="E360" s="6"/>
    </row>
    <row r="361">
      <c r="A361" s="6"/>
      <c r="B361" s="4"/>
      <c r="C361" s="4"/>
      <c r="D361" s="6"/>
      <c r="E361" s="6"/>
    </row>
    <row r="362">
      <c r="A362" s="6"/>
      <c r="B362" s="4"/>
      <c r="C362" s="4"/>
      <c r="D362" s="6"/>
      <c r="E362" s="6"/>
    </row>
    <row r="363">
      <c r="A363" s="6"/>
      <c r="B363" s="4"/>
      <c r="C363" s="4"/>
      <c r="D363" s="6"/>
      <c r="E363" s="6"/>
    </row>
    <row r="364">
      <c r="A364" s="6"/>
      <c r="B364" s="4"/>
      <c r="C364" s="4"/>
      <c r="D364" s="6"/>
      <c r="E364" s="6"/>
    </row>
    <row r="365">
      <c r="A365" s="6"/>
      <c r="B365" s="4"/>
      <c r="C365" s="4"/>
      <c r="D365" s="6"/>
      <c r="E365" s="6"/>
    </row>
    <row r="366">
      <c r="A366" s="6"/>
      <c r="B366" s="4"/>
      <c r="C366" s="4"/>
      <c r="D366" s="6"/>
      <c r="E366" s="6"/>
    </row>
    <row r="367">
      <c r="A367" s="6"/>
      <c r="B367" s="4"/>
      <c r="C367" s="4"/>
      <c r="D367" s="6"/>
      <c r="E367" s="6"/>
    </row>
    <row r="368">
      <c r="A368" s="6"/>
      <c r="B368" s="4"/>
      <c r="C368" s="4"/>
      <c r="D368" s="6"/>
      <c r="E368" s="6"/>
    </row>
    <row r="369">
      <c r="A369" s="6"/>
      <c r="B369" s="4"/>
      <c r="C369" s="4"/>
      <c r="D369" s="6"/>
      <c r="E369" s="6"/>
    </row>
    <row r="370">
      <c r="A370" s="6"/>
      <c r="B370" s="4"/>
      <c r="C370" s="4"/>
      <c r="D370" s="6"/>
      <c r="E370" s="6"/>
    </row>
    <row r="371">
      <c r="A371" s="6"/>
      <c r="B371" s="4"/>
      <c r="C371" s="4"/>
      <c r="D371" s="6"/>
      <c r="E371" s="6"/>
    </row>
    <row r="372">
      <c r="A372" s="6"/>
      <c r="B372" s="4"/>
      <c r="C372" s="4"/>
      <c r="D372" s="6"/>
      <c r="E372" s="6"/>
    </row>
    <row r="373">
      <c r="A373" s="6"/>
      <c r="B373" s="4"/>
      <c r="C373" s="4"/>
      <c r="D373" s="6"/>
      <c r="E373" s="6"/>
    </row>
    <row r="374">
      <c r="A374" s="6"/>
      <c r="B374" s="4"/>
      <c r="C374" s="4"/>
      <c r="D374" s="6"/>
      <c r="E374" s="6"/>
    </row>
    <row r="375">
      <c r="A375" s="6"/>
      <c r="B375" s="4"/>
      <c r="C375" s="4"/>
      <c r="D375" s="6"/>
      <c r="E375" s="6"/>
    </row>
    <row r="376">
      <c r="A376" s="6"/>
      <c r="B376" s="4"/>
      <c r="C376" s="4"/>
      <c r="D376" s="6"/>
      <c r="E376" s="6"/>
    </row>
    <row r="377">
      <c r="A377" s="6"/>
      <c r="B377" s="4"/>
      <c r="C377" s="4"/>
      <c r="D377" s="6"/>
      <c r="E377" s="6"/>
    </row>
    <row r="378">
      <c r="A378" s="6"/>
      <c r="B378" s="4"/>
      <c r="C378" s="4"/>
      <c r="D378" s="6"/>
      <c r="E378" s="6"/>
    </row>
    <row r="379">
      <c r="A379" s="6"/>
      <c r="B379" s="4"/>
      <c r="C379" s="4"/>
      <c r="D379" s="6"/>
      <c r="E379" s="6"/>
    </row>
    <row r="380">
      <c r="A380" s="6"/>
      <c r="B380" s="4"/>
      <c r="C380" s="4"/>
      <c r="D380" s="6"/>
      <c r="E380" s="6"/>
    </row>
    <row r="381">
      <c r="A381" s="6"/>
      <c r="B381" s="4"/>
      <c r="C381" s="4"/>
      <c r="D381" s="6"/>
      <c r="E381" s="6"/>
    </row>
    <row r="382">
      <c r="A382" s="6"/>
      <c r="B382" s="4"/>
      <c r="C382" s="4"/>
      <c r="D382" s="6"/>
      <c r="E382" s="6"/>
    </row>
    <row r="383">
      <c r="A383" s="6"/>
      <c r="B383" s="4"/>
      <c r="C383" s="4"/>
      <c r="D383" s="6"/>
      <c r="E383" s="6"/>
    </row>
    <row r="384">
      <c r="A384" s="6"/>
      <c r="B384" s="4"/>
      <c r="C384" s="4"/>
      <c r="D384" s="6"/>
      <c r="E384" s="6"/>
    </row>
    <row r="385">
      <c r="A385" s="6"/>
      <c r="B385" s="4"/>
      <c r="C385" s="4"/>
      <c r="D385" s="6"/>
      <c r="E385" s="6"/>
    </row>
    <row r="386">
      <c r="A386" s="6"/>
      <c r="B386" s="4"/>
      <c r="C386" s="4"/>
      <c r="D386" s="6"/>
      <c r="E386" s="6"/>
    </row>
    <row r="387">
      <c r="A387" s="6"/>
      <c r="B387" s="4"/>
      <c r="C387" s="4"/>
      <c r="D387" s="6"/>
      <c r="E387" s="6"/>
    </row>
    <row r="388">
      <c r="A388" s="6"/>
      <c r="B388" s="4"/>
      <c r="C388" s="4"/>
      <c r="D388" s="6"/>
      <c r="E388" s="6"/>
    </row>
    <row r="389">
      <c r="A389" s="6"/>
      <c r="B389" s="4"/>
      <c r="C389" s="4"/>
      <c r="D389" s="6"/>
      <c r="E389" s="6"/>
    </row>
    <row r="390">
      <c r="A390" s="6"/>
      <c r="B390" s="4"/>
      <c r="C390" s="4"/>
      <c r="D390" s="6"/>
      <c r="E390" s="6"/>
    </row>
    <row r="391">
      <c r="A391" s="6"/>
      <c r="B391" s="4"/>
      <c r="C391" s="4"/>
      <c r="D391" s="6"/>
      <c r="E391" s="6"/>
    </row>
    <row r="392">
      <c r="A392" s="6"/>
      <c r="B392" s="4"/>
      <c r="C392" s="4"/>
      <c r="D392" s="6"/>
      <c r="E392" s="6"/>
    </row>
    <row r="393">
      <c r="A393" s="6"/>
      <c r="B393" s="4"/>
      <c r="C393" s="4"/>
      <c r="D393" s="6"/>
      <c r="E393" s="6"/>
    </row>
    <row r="394">
      <c r="A394" s="6"/>
      <c r="B394" s="4"/>
      <c r="C394" s="4"/>
      <c r="D394" s="6"/>
      <c r="E394" s="6"/>
    </row>
    <row r="395">
      <c r="A395" s="6"/>
      <c r="B395" s="4"/>
      <c r="C395" s="4"/>
      <c r="D395" s="6"/>
      <c r="E395" s="6"/>
    </row>
    <row r="396">
      <c r="A396" s="6"/>
      <c r="B396" s="4"/>
      <c r="C396" s="4"/>
      <c r="D396" s="6"/>
      <c r="E396" s="6"/>
    </row>
    <row r="397">
      <c r="A397" s="6"/>
      <c r="B397" s="4"/>
      <c r="C397" s="4"/>
      <c r="D397" s="6"/>
      <c r="E397" s="6"/>
    </row>
    <row r="398">
      <c r="A398" s="6"/>
      <c r="B398" s="4"/>
      <c r="C398" s="4"/>
      <c r="D398" s="6"/>
      <c r="E398" s="6"/>
    </row>
    <row r="399">
      <c r="A399" s="6"/>
      <c r="B399" s="4"/>
      <c r="C399" s="4"/>
      <c r="D399" s="6"/>
      <c r="E399" s="6"/>
    </row>
    <row r="400">
      <c r="A400" s="6"/>
      <c r="B400" s="4"/>
      <c r="C400" s="4"/>
      <c r="D400" s="6"/>
      <c r="E400" s="6"/>
    </row>
    <row r="401">
      <c r="A401" s="6"/>
      <c r="B401" s="4"/>
      <c r="C401" s="4"/>
      <c r="D401" s="6"/>
      <c r="E401" s="6"/>
    </row>
    <row r="402">
      <c r="A402" s="6"/>
      <c r="B402" s="4"/>
      <c r="C402" s="4"/>
      <c r="D402" s="6"/>
      <c r="E402" s="6"/>
    </row>
    <row r="403">
      <c r="A403" s="6"/>
      <c r="B403" s="4"/>
      <c r="C403" s="4"/>
      <c r="D403" s="6"/>
      <c r="E403" s="6"/>
    </row>
    <row r="404">
      <c r="A404" s="6"/>
      <c r="B404" s="4"/>
      <c r="C404" s="4"/>
      <c r="D404" s="6"/>
      <c r="E404" s="6"/>
    </row>
    <row r="405">
      <c r="A405" s="6"/>
      <c r="B405" s="4"/>
      <c r="C405" s="4"/>
      <c r="D405" s="6"/>
      <c r="E405" s="6"/>
    </row>
    <row r="406">
      <c r="A406" s="6"/>
      <c r="B406" s="4"/>
      <c r="C406" s="4"/>
      <c r="D406" s="6"/>
      <c r="E406" s="6"/>
    </row>
    <row r="407">
      <c r="A407" s="6"/>
      <c r="B407" s="4"/>
      <c r="C407" s="4"/>
      <c r="D407" s="6"/>
      <c r="E407" s="6"/>
    </row>
    <row r="408">
      <c r="A408" s="6"/>
      <c r="B408" s="4"/>
      <c r="C408" s="4"/>
      <c r="D408" s="6"/>
      <c r="E408" s="6"/>
    </row>
    <row r="409">
      <c r="A409" s="6"/>
      <c r="B409" s="4"/>
      <c r="C409" s="4"/>
      <c r="D409" s="6"/>
      <c r="E409" s="6"/>
    </row>
    <row r="410">
      <c r="A410" s="6"/>
      <c r="B410" s="4"/>
      <c r="C410" s="4"/>
      <c r="D410" s="6"/>
      <c r="E410" s="6"/>
    </row>
    <row r="411">
      <c r="A411" s="6"/>
      <c r="B411" s="4"/>
      <c r="C411" s="4"/>
      <c r="D411" s="6"/>
      <c r="E411" s="6"/>
    </row>
    <row r="412">
      <c r="A412" s="6"/>
      <c r="B412" s="4"/>
      <c r="C412" s="4"/>
      <c r="D412" s="6"/>
      <c r="E412" s="6"/>
    </row>
    <row r="413">
      <c r="A413" s="6"/>
      <c r="B413" s="4"/>
      <c r="C413" s="4"/>
      <c r="D413" s="6"/>
      <c r="E413" s="6"/>
    </row>
    <row r="414">
      <c r="A414" s="6"/>
      <c r="B414" s="4"/>
      <c r="C414" s="4"/>
      <c r="D414" s="6"/>
      <c r="E414" s="6"/>
    </row>
    <row r="415">
      <c r="A415" s="6"/>
      <c r="B415" s="4"/>
      <c r="C415" s="4"/>
      <c r="D415" s="6"/>
      <c r="E415" s="6"/>
    </row>
    <row r="416">
      <c r="A416" s="6"/>
      <c r="B416" s="4"/>
      <c r="C416" s="4"/>
      <c r="D416" s="6"/>
      <c r="E416" s="6"/>
    </row>
    <row r="417">
      <c r="A417" s="6"/>
      <c r="B417" s="4"/>
      <c r="C417" s="4"/>
      <c r="D417" s="6"/>
      <c r="E417" s="6"/>
    </row>
    <row r="418">
      <c r="A418" s="6"/>
      <c r="B418" s="4"/>
      <c r="C418" s="4"/>
      <c r="D418" s="6"/>
      <c r="E418" s="6"/>
    </row>
    <row r="419">
      <c r="A419" s="6"/>
      <c r="B419" s="4"/>
      <c r="C419" s="4"/>
      <c r="D419" s="6"/>
      <c r="E419" s="6"/>
    </row>
    <row r="420">
      <c r="A420" s="6"/>
      <c r="B420" s="4"/>
      <c r="C420" s="4"/>
      <c r="D420" s="6"/>
      <c r="E420" s="6"/>
    </row>
    <row r="421">
      <c r="A421" s="6"/>
      <c r="B421" s="4"/>
      <c r="C421" s="4"/>
      <c r="D421" s="6"/>
      <c r="E421" s="6"/>
    </row>
    <row r="422">
      <c r="A422" s="6"/>
      <c r="B422" s="4"/>
      <c r="C422" s="4"/>
      <c r="D422" s="6"/>
      <c r="E422" s="6"/>
    </row>
    <row r="423">
      <c r="A423" s="6"/>
      <c r="B423" s="4"/>
      <c r="C423" s="4"/>
      <c r="D423" s="6"/>
      <c r="E423" s="6"/>
    </row>
    <row r="424">
      <c r="A424" s="6"/>
      <c r="B424" s="4"/>
      <c r="C424" s="4"/>
      <c r="D424" s="6"/>
      <c r="E424" s="6"/>
    </row>
    <row r="425">
      <c r="A425" s="6"/>
      <c r="B425" s="4"/>
      <c r="C425" s="4"/>
      <c r="D425" s="6"/>
      <c r="E425" s="6"/>
    </row>
    <row r="426">
      <c r="A426" s="6"/>
      <c r="B426" s="4"/>
      <c r="C426" s="4"/>
      <c r="D426" s="6"/>
      <c r="E426" s="6"/>
    </row>
    <row r="427">
      <c r="A427" s="6"/>
      <c r="B427" s="4"/>
      <c r="C427" s="4"/>
      <c r="D427" s="6"/>
      <c r="E427" s="6"/>
    </row>
    <row r="428">
      <c r="A428" s="6"/>
      <c r="B428" s="4"/>
      <c r="C428" s="4"/>
      <c r="D428" s="6"/>
      <c r="E428" s="6"/>
    </row>
    <row r="429">
      <c r="A429" s="6"/>
      <c r="B429" s="4"/>
      <c r="C429" s="4"/>
      <c r="D429" s="6"/>
      <c r="E429" s="6"/>
    </row>
    <row r="430">
      <c r="A430" s="6"/>
      <c r="B430" s="4"/>
      <c r="C430" s="4"/>
      <c r="D430" s="6"/>
      <c r="E430" s="6"/>
    </row>
    <row r="431">
      <c r="A431" s="6"/>
      <c r="B431" s="4"/>
      <c r="C431" s="4"/>
      <c r="D431" s="6"/>
      <c r="E431" s="6"/>
    </row>
    <row r="432">
      <c r="A432" s="6"/>
      <c r="B432" s="4"/>
      <c r="C432" s="4"/>
      <c r="D432" s="6"/>
      <c r="E432" s="6"/>
    </row>
    <row r="433">
      <c r="A433" s="6"/>
      <c r="B433" s="4"/>
      <c r="C433" s="4"/>
      <c r="D433" s="6"/>
      <c r="E433" s="6"/>
    </row>
    <row r="434">
      <c r="A434" s="6"/>
      <c r="B434" s="4"/>
      <c r="C434" s="4"/>
      <c r="D434" s="6"/>
      <c r="E434" s="6"/>
    </row>
    <row r="435">
      <c r="A435" s="6"/>
      <c r="B435" s="4"/>
      <c r="C435" s="4"/>
      <c r="D435" s="6"/>
      <c r="E435" s="6"/>
    </row>
    <row r="436">
      <c r="A436" s="6"/>
      <c r="B436" s="4"/>
      <c r="C436" s="4"/>
      <c r="D436" s="6"/>
      <c r="E436" s="6"/>
    </row>
    <row r="437">
      <c r="A437" s="6"/>
      <c r="B437" s="4"/>
      <c r="C437" s="4"/>
      <c r="D437" s="6"/>
      <c r="E437" s="6"/>
    </row>
    <row r="438">
      <c r="A438" s="6"/>
      <c r="B438" s="4"/>
      <c r="C438" s="4"/>
      <c r="D438" s="6"/>
      <c r="E438" s="6"/>
    </row>
    <row r="439">
      <c r="A439" s="6"/>
      <c r="B439" s="4"/>
      <c r="C439" s="4"/>
      <c r="D439" s="6"/>
      <c r="E439" s="6"/>
    </row>
    <row r="440">
      <c r="A440" s="6"/>
      <c r="B440" s="4"/>
      <c r="C440" s="4"/>
      <c r="D440" s="6"/>
      <c r="E440" s="6"/>
    </row>
    <row r="441">
      <c r="A441" s="6"/>
      <c r="B441" s="4"/>
      <c r="C441" s="4"/>
      <c r="D441" s="6"/>
      <c r="E441" s="6"/>
    </row>
    <row r="442">
      <c r="A442" s="6"/>
      <c r="B442" s="4"/>
      <c r="C442" s="4"/>
      <c r="D442" s="6"/>
      <c r="E442" s="6"/>
    </row>
    <row r="443">
      <c r="A443" s="6"/>
      <c r="B443" s="4"/>
      <c r="C443" s="4"/>
      <c r="D443" s="6"/>
      <c r="E443" s="6"/>
    </row>
    <row r="444">
      <c r="A444" s="6"/>
      <c r="B444" s="4"/>
      <c r="C444" s="4"/>
      <c r="D444" s="6"/>
      <c r="E444" s="6"/>
    </row>
    <row r="445">
      <c r="A445" s="6"/>
      <c r="B445" s="4"/>
      <c r="C445" s="4"/>
      <c r="D445" s="6"/>
      <c r="E445" s="6"/>
    </row>
    <row r="446">
      <c r="A446" s="6"/>
      <c r="B446" s="4"/>
      <c r="C446" s="4"/>
      <c r="D446" s="6"/>
      <c r="E446" s="6"/>
    </row>
    <row r="447">
      <c r="A447" s="6"/>
      <c r="B447" s="4"/>
      <c r="C447" s="4"/>
      <c r="D447" s="6"/>
      <c r="E447" s="6"/>
    </row>
    <row r="448">
      <c r="A448" s="6"/>
      <c r="B448" s="4"/>
      <c r="C448" s="4"/>
      <c r="D448" s="6"/>
      <c r="E448" s="6"/>
    </row>
    <row r="449">
      <c r="A449" s="6"/>
      <c r="B449" s="4"/>
      <c r="C449" s="4"/>
      <c r="D449" s="6"/>
      <c r="E449" s="6"/>
    </row>
    <row r="450">
      <c r="A450" s="6"/>
      <c r="B450" s="4"/>
      <c r="C450" s="4"/>
      <c r="D450" s="6"/>
      <c r="E450" s="6"/>
    </row>
    <row r="451">
      <c r="A451" s="6"/>
      <c r="B451" s="4"/>
      <c r="C451" s="4"/>
      <c r="D451" s="6"/>
      <c r="E451" s="6"/>
    </row>
    <row r="452">
      <c r="A452" s="6"/>
      <c r="B452" s="4"/>
      <c r="C452" s="4"/>
      <c r="D452" s="6"/>
      <c r="E452" s="6"/>
    </row>
    <row r="453">
      <c r="A453" s="6"/>
      <c r="B453" s="4"/>
      <c r="C453" s="4"/>
      <c r="D453" s="6"/>
      <c r="E453" s="6"/>
    </row>
    <row r="454">
      <c r="A454" s="6"/>
      <c r="B454" s="4"/>
      <c r="C454" s="4"/>
      <c r="D454" s="6"/>
      <c r="E454" s="6"/>
    </row>
    <row r="455">
      <c r="A455" s="6"/>
      <c r="B455" s="4"/>
      <c r="C455" s="4"/>
      <c r="D455" s="6"/>
      <c r="E455" s="6"/>
    </row>
    <row r="456">
      <c r="A456" s="6"/>
      <c r="B456" s="4"/>
      <c r="C456" s="4"/>
      <c r="D456" s="6"/>
      <c r="E456" s="6"/>
    </row>
    <row r="457">
      <c r="A457" s="6"/>
      <c r="B457" s="4"/>
      <c r="C457" s="4"/>
      <c r="D457" s="6"/>
      <c r="E457" s="6"/>
    </row>
    <row r="458">
      <c r="A458" s="6"/>
      <c r="B458" s="4"/>
      <c r="C458" s="4"/>
      <c r="D458" s="6"/>
      <c r="E458" s="6"/>
    </row>
    <row r="459">
      <c r="A459" s="6"/>
      <c r="B459" s="4"/>
      <c r="C459" s="4"/>
      <c r="D459" s="6"/>
      <c r="E459" s="6"/>
    </row>
    <row r="460">
      <c r="A460" s="6"/>
      <c r="B460" s="4"/>
      <c r="C460" s="4"/>
      <c r="D460" s="6"/>
      <c r="E460" s="6"/>
    </row>
    <row r="461">
      <c r="A461" s="6"/>
      <c r="B461" s="4"/>
      <c r="C461" s="4"/>
      <c r="D461" s="6"/>
      <c r="E461" s="6"/>
    </row>
    <row r="462">
      <c r="A462" s="6"/>
      <c r="B462" s="4"/>
      <c r="C462" s="4"/>
      <c r="D462" s="6"/>
      <c r="E462" s="6"/>
    </row>
    <row r="463">
      <c r="A463" s="6"/>
      <c r="B463" s="4"/>
      <c r="C463" s="4"/>
      <c r="D463" s="6"/>
      <c r="E463" s="6"/>
    </row>
    <row r="464">
      <c r="A464" s="6"/>
      <c r="B464" s="4"/>
      <c r="C464" s="4"/>
      <c r="D464" s="6"/>
      <c r="E464" s="6"/>
    </row>
    <row r="465">
      <c r="A465" s="6"/>
      <c r="B465" s="4"/>
      <c r="C465" s="4"/>
      <c r="D465" s="6"/>
      <c r="E465" s="6"/>
    </row>
    <row r="466">
      <c r="A466" s="6"/>
      <c r="B466" s="4"/>
      <c r="C466" s="4"/>
      <c r="D466" s="6"/>
      <c r="E466" s="6"/>
    </row>
    <row r="467">
      <c r="A467" s="6"/>
      <c r="B467" s="4"/>
      <c r="C467" s="4"/>
      <c r="D467" s="6"/>
      <c r="E467" s="6"/>
    </row>
    <row r="468">
      <c r="A468" s="6"/>
      <c r="B468" s="4"/>
      <c r="C468" s="4"/>
      <c r="D468" s="6"/>
      <c r="E468" s="6"/>
    </row>
    <row r="469">
      <c r="A469" s="6"/>
      <c r="B469" s="4"/>
      <c r="C469" s="4"/>
      <c r="D469" s="6"/>
      <c r="E469" s="6"/>
    </row>
    <row r="470">
      <c r="A470" s="6"/>
      <c r="B470" s="4"/>
      <c r="C470" s="4"/>
      <c r="D470" s="6"/>
      <c r="E470" s="6"/>
    </row>
    <row r="471">
      <c r="A471" s="6"/>
      <c r="B471" s="4"/>
      <c r="C471" s="4"/>
      <c r="D471" s="6"/>
      <c r="E471" s="6"/>
    </row>
    <row r="472">
      <c r="A472" s="6"/>
      <c r="B472" s="4"/>
      <c r="C472" s="4"/>
      <c r="D472" s="6"/>
      <c r="E472" s="6"/>
    </row>
    <row r="473">
      <c r="A473" s="6"/>
      <c r="B473" s="4"/>
      <c r="C473" s="4"/>
      <c r="D473" s="6"/>
      <c r="E473" s="6"/>
    </row>
    <row r="474">
      <c r="A474" s="6"/>
      <c r="B474" s="4"/>
      <c r="C474" s="4"/>
      <c r="D474" s="6"/>
      <c r="E474" s="6"/>
    </row>
    <row r="475">
      <c r="A475" s="6"/>
      <c r="B475" s="4"/>
      <c r="C475" s="4"/>
      <c r="D475" s="6"/>
      <c r="E475" s="6"/>
    </row>
    <row r="476">
      <c r="A476" s="6"/>
      <c r="B476" s="4"/>
      <c r="C476" s="4"/>
      <c r="D476" s="6"/>
      <c r="E476" s="6"/>
    </row>
    <row r="477">
      <c r="A477" s="6"/>
      <c r="B477" s="4"/>
      <c r="C477" s="4"/>
      <c r="D477" s="6"/>
      <c r="E477" s="6"/>
    </row>
    <row r="478">
      <c r="A478" s="6"/>
      <c r="B478" s="4"/>
      <c r="C478" s="4"/>
      <c r="D478" s="6"/>
      <c r="E478" s="6"/>
    </row>
    <row r="479">
      <c r="A479" s="6"/>
      <c r="B479" s="4"/>
      <c r="C479" s="4"/>
      <c r="D479" s="6"/>
      <c r="E479" s="6"/>
    </row>
    <row r="480">
      <c r="A480" s="6"/>
      <c r="B480" s="4"/>
      <c r="C480" s="4"/>
      <c r="D480" s="6"/>
      <c r="E480" s="6"/>
    </row>
    <row r="481">
      <c r="A481" s="6"/>
      <c r="B481" s="4"/>
      <c r="C481" s="4"/>
      <c r="D481" s="6"/>
      <c r="E481" s="6"/>
    </row>
    <row r="482">
      <c r="A482" s="6"/>
      <c r="B482" s="4"/>
      <c r="C482" s="4"/>
      <c r="D482" s="6"/>
      <c r="E482" s="6"/>
    </row>
    <row r="483">
      <c r="A483" s="6"/>
      <c r="B483" s="4"/>
      <c r="C483" s="4"/>
      <c r="D483" s="6"/>
      <c r="E483" s="6"/>
    </row>
    <row r="484">
      <c r="A484" s="6"/>
      <c r="B484" s="4"/>
      <c r="C484" s="4"/>
      <c r="D484" s="6"/>
      <c r="E484" s="6"/>
    </row>
    <row r="485">
      <c r="A485" s="6"/>
      <c r="B485" s="4"/>
      <c r="C485" s="4"/>
      <c r="D485" s="6"/>
      <c r="E485" s="6"/>
    </row>
    <row r="486">
      <c r="A486" s="6"/>
      <c r="B486" s="4"/>
      <c r="C486" s="4"/>
      <c r="D486" s="6"/>
      <c r="E486" s="6"/>
    </row>
    <row r="487">
      <c r="A487" s="6"/>
      <c r="B487" s="4"/>
      <c r="C487" s="4"/>
      <c r="D487" s="6"/>
      <c r="E487" s="6"/>
    </row>
    <row r="488">
      <c r="A488" s="6"/>
      <c r="B488" s="4"/>
      <c r="C488" s="4"/>
      <c r="D488" s="6"/>
      <c r="E488" s="6"/>
    </row>
    <row r="489">
      <c r="A489" s="6"/>
      <c r="B489" s="4"/>
      <c r="C489" s="4"/>
      <c r="D489" s="6"/>
      <c r="E489" s="6"/>
    </row>
    <row r="490">
      <c r="A490" s="6"/>
      <c r="B490" s="4"/>
      <c r="C490" s="4"/>
      <c r="D490" s="6"/>
      <c r="E490" s="6"/>
    </row>
    <row r="491">
      <c r="A491" s="6"/>
      <c r="B491" s="4"/>
      <c r="C491" s="4"/>
      <c r="D491" s="6"/>
      <c r="E491" s="6"/>
    </row>
    <row r="492">
      <c r="A492" s="6"/>
      <c r="B492" s="4"/>
      <c r="C492" s="4"/>
      <c r="D492" s="6"/>
      <c r="E492" s="6"/>
    </row>
    <row r="493">
      <c r="A493" s="6"/>
      <c r="B493" s="4"/>
      <c r="C493" s="4"/>
      <c r="D493" s="6"/>
      <c r="E493" s="6"/>
    </row>
    <row r="494">
      <c r="A494" s="6"/>
      <c r="B494" s="4"/>
      <c r="C494" s="4"/>
      <c r="D494" s="6"/>
      <c r="E494" s="6"/>
    </row>
    <row r="495">
      <c r="A495" s="6"/>
      <c r="B495" s="4"/>
      <c r="C495" s="4"/>
      <c r="D495" s="6"/>
      <c r="E495" s="6"/>
    </row>
    <row r="496">
      <c r="A496" s="6"/>
      <c r="B496" s="4"/>
      <c r="C496" s="4"/>
      <c r="D496" s="6"/>
      <c r="E496" s="6"/>
    </row>
    <row r="497">
      <c r="A497" s="6"/>
      <c r="B497" s="4"/>
      <c r="C497" s="4"/>
      <c r="D497" s="6"/>
      <c r="E497" s="6"/>
    </row>
    <row r="498">
      <c r="A498" s="6"/>
      <c r="B498" s="4"/>
      <c r="C498" s="4"/>
      <c r="D498" s="6"/>
      <c r="E498" s="6"/>
    </row>
    <row r="499">
      <c r="A499" s="6"/>
      <c r="B499" s="4"/>
      <c r="C499" s="4"/>
      <c r="D499" s="6"/>
      <c r="E499" s="6"/>
    </row>
    <row r="500">
      <c r="A500" s="6"/>
      <c r="B500" s="4"/>
      <c r="C500" s="4"/>
      <c r="D500" s="6"/>
      <c r="E500" s="6"/>
    </row>
    <row r="501">
      <c r="A501" s="6"/>
      <c r="B501" s="4"/>
      <c r="C501" s="4"/>
      <c r="D501" s="6"/>
      <c r="E501" s="6"/>
    </row>
    <row r="502">
      <c r="A502" s="6"/>
      <c r="B502" s="4"/>
      <c r="C502" s="4"/>
      <c r="D502" s="6"/>
      <c r="E502" s="6"/>
    </row>
    <row r="503">
      <c r="A503" s="6"/>
      <c r="B503" s="4"/>
      <c r="C503" s="4"/>
      <c r="D503" s="6"/>
      <c r="E503" s="6"/>
    </row>
    <row r="504">
      <c r="A504" s="6"/>
      <c r="B504" s="4"/>
      <c r="C504" s="4"/>
      <c r="D504" s="6"/>
      <c r="E504" s="6"/>
    </row>
    <row r="505">
      <c r="A505" s="6"/>
      <c r="B505" s="4"/>
      <c r="C505" s="4"/>
      <c r="D505" s="6"/>
      <c r="E505" s="6"/>
    </row>
    <row r="506">
      <c r="A506" s="6"/>
      <c r="B506" s="4"/>
      <c r="C506" s="4"/>
      <c r="D506" s="6"/>
      <c r="E506" s="6"/>
    </row>
    <row r="507">
      <c r="A507" s="6"/>
      <c r="B507" s="4"/>
      <c r="C507" s="4"/>
      <c r="D507" s="6"/>
      <c r="E507" s="6"/>
    </row>
    <row r="508">
      <c r="A508" s="6"/>
      <c r="B508" s="4"/>
      <c r="C508" s="4"/>
      <c r="D508" s="6"/>
      <c r="E508" s="6"/>
    </row>
    <row r="509">
      <c r="A509" s="6"/>
      <c r="B509" s="4"/>
      <c r="C509" s="4"/>
      <c r="D509" s="6"/>
      <c r="E509" s="6"/>
    </row>
    <row r="510">
      <c r="A510" s="6"/>
      <c r="B510" s="4"/>
      <c r="C510" s="4"/>
      <c r="D510" s="6"/>
      <c r="E510" s="6"/>
    </row>
    <row r="511">
      <c r="A511" s="6"/>
      <c r="B511" s="4"/>
      <c r="C511" s="4"/>
      <c r="D511" s="6"/>
      <c r="E511" s="6"/>
    </row>
    <row r="512">
      <c r="A512" s="6"/>
      <c r="B512" s="4"/>
      <c r="C512" s="4"/>
      <c r="D512" s="6"/>
      <c r="E512" s="6"/>
    </row>
    <row r="513">
      <c r="A513" s="6"/>
      <c r="B513" s="4"/>
      <c r="C513" s="4"/>
      <c r="D513" s="6"/>
      <c r="E513" s="6"/>
    </row>
    <row r="514">
      <c r="A514" s="6"/>
      <c r="B514" s="4"/>
      <c r="C514" s="4"/>
      <c r="D514" s="6"/>
      <c r="E514" s="6"/>
    </row>
    <row r="515">
      <c r="A515" s="6"/>
      <c r="B515" s="4"/>
      <c r="C515" s="4"/>
      <c r="D515" s="6"/>
      <c r="E515" s="6"/>
    </row>
    <row r="516">
      <c r="A516" s="6"/>
      <c r="B516" s="4"/>
      <c r="C516" s="4"/>
      <c r="D516" s="6"/>
      <c r="E516" s="6"/>
    </row>
    <row r="517">
      <c r="A517" s="6"/>
      <c r="B517" s="4"/>
      <c r="C517" s="4"/>
      <c r="D517" s="6"/>
      <c r="E517" s="6"/>
    </row>
    <row r="518">
      <c r="A518" s="6"/>
      <c r="B518" s="4"/>
      <c r="C518" s="4"/>
      <c r="D518" s="6"/>
      <c r="E518" s="6"/>
    </row>
    <row r="519">
      <c r="A519" s="6"/>
      <c r="B519" s="4"/>
      <c r="C519" s="4"/>
      <c r="D519" s="6"/>
      <c r="E519" s="6"/>
    </row>
    <row r="520">
      <c r="A520" s="6"/>
      <c r="B520" s="4"/>
      <c r="C520" s="4"/>
      <c r="D520" s="6"/>
      <c r="E520" s="6"/>
    </row>
    <row r="521">
      <c r="A521" s="6"/>
      <c r="B521" s="4"/>
      <c r="C521" s="4"/>
      <c r="D521" s="6"/>
      <c r="E521" s="6"/>
    </row>
    <row r="522">
      <c r="A522" s="6"/>
      <c r="B522" s="4"/>
      <c r="C522" s="4"/>
      <c r="D522" s="6"/>
      <c r="E522" s="6"/>
    </row>
    <row r="523">
      <c r="A523" s="6"/>
      <c r="B523" s="4"/>
      <c r="C523" s="4"/>
      <c r="D523" s="6"/>
      <c r="E523" s="6"/>
    </row>
    <row r="524">
      <c r="A524" s="6"/>
      <c r="B524" s="4"/>
      <c r="C524" s="4"/>
      <c r="D524" s="6"/>
      <c r="E524" s="6"/>
    </row>
    <row r="525">
      <c r="A525" s="6"/>
      <c r="B525" s="4"/>
      <c r="C525" s="4"/>
      <c r="D525" s="6"/>
      <c r="E525" s="6"/>
    </row>
    <row r="526">
      <c r="A526" s="6"/>
      <c r="B526" s="4"/>
      <c r="C526" s="4"/>
      <c r="D526" s="6"/>
      <c r="E526" s="6"/>
    </row>
    <row r="527">
      <c r="A527" s="6"/>
      <c r="B527" s="4"/>
      <c r="C527" s="4"/>
      <c r="D527" s="6"/>
      <c r="E527" s="6"/>
    </row>
    <row r="528">
      <c r="A528" s="6"/>
      <c r="B528" s="4"/>
      <c r="C528" s="4"/>
      <c r="D528" s="6"/>
      <c r="E528" s="6"/>
    </row>
    <row r="529">
      <c r="A529" s="6"/>
      <c r="B529" s="4"/>
      <c r="C529" s="4"/>
      <c r="D529" s="6"/>
      <c r="E529" s="6"/>
    </row>
    <row r="530">
      <c r="A530" s="6"/>
      <c r="B530" s="4"/>
      <c r="C530" s="4"/>
      <c r="D530" s="6"/>
      <c r="E530" s="6"/>
    </row>
    <row r="531">
      <c r="A531" s="6"/>
      <c r="B531" s="4"/>
      <c r="C531" s="4"/>
      <c r="D531" s="6"/>
      <c r="E531" s="6"/>
    </row>
    <row r="532">
      <c r="A532" s="6"/>
      <c r="B532" s="4"/>
      <c r="C532" s="4"/>
      <c r="D532" s="6"/>
      <c r="E532" s="6"/>
    </row>
    <row r="533">
      <c r="A533" s="6"/>
      <c r="B533" s="4"/>
      <c r="C533" s="4"/>
      <c r="D533" s="6"/>
      <c r="E533" s="6"/>
    </row>
    <row r="534">
      <c r="A534" s="6"/>
      <c r="B534" s="4"/>
      <c r="C534" s="4"/>
      <c r="D534" s="6"/>
      <c r="E534" s="6"/>
    </row>
    <row r="535">
      <c r="A535" s="6"/>
      <c r="B535" s="4"/>
      <c r="C535" s="4"/>
      <c r="D535" s="6"/>
      <c r="E535" s="6"/>
    </row>
    <row r="536">
      <c r="A536" s="6"/>
      <c r="B536" s="4"/>
      <c r="C536" s="4"/>
      <c r="D536" s="6"/>
      <c r="E536" s="6"/>
    </row>
    <row r="537">
      <c r="A537" s="6"/>
      <c r="B537" s="4"/>
      <c r="C537" s="4"/>
      <c r="D537" s="6"/>
      <c r="E537" s="6"/>
    </row>
    <row r="538">
      <c r="A538" s="6"/>
      <c r="B538" s="4"/>
      <c r="C538" s="4"/>
      <c r="D538" s="6"/>
      <c r="E538" s="6"/>
    </row>
    <row r="539">
      <c r="A539" s="6"/>
      <c r="B539" s="4"/>
      <c r="C539" s="4"/>
      <c r="D539" s="6"/>
      <c r="E539" s="6"/>
    </row>
    <row r="540">
      <c r="A540" s="6"/>
      <c r="B540" s="4"/>
      <c r="C540" s="4"/>
      <c r="D540" s="6"/>
      <c r="E540" s="6"/>
    </row>
    <row r="541">
      <c r="A541" s="6"/>
      <c r="B541" s="4"/>
      <c r="C541" s="4"/>
      <c r="D541" s="6"/>
      <c r="E541" s="6"/>
    </row>
    <row r="542">
      <c r="A542" s="6"/>
      <c r="B542" s="4"/>
      <c r="C542" s="4"/>
      <c r="D542" s="6"/>
      <c r="E542" s="6"/>
    </row>
    <row r="543">
      <c r="A543" s="6"/>
      <c r="B543" s="4"/>
      <c r="C543" s="4"/>
      <c r="D543" s="6"/>
      <c r="E543" s="6"/>
    </row>
    <row r="544">
      <c r="A544" s="6"/>
      <c r="B544" s="4"/>
      <c r="C544" s="4"/>
      <c r="D544" s="6"/>
      <c r="E544" s="6"/>
    </row>
    <row r="545">
      <c r="A545" s="6"/>
      <c r="B545" s="4"/>
      <c r="C545" s="4"/>
      <c r="D545" s="6"/>
      <c r="E545" s="6"/>
    </row>
    <row r="546">
      <c r="A546" s="6"/>
      <c r="B546" s="4"/>
      <c r="C546" s="4"/>
      <c r="D546" s="6"/>
      <c r="E546" s="6"/>
    </row>
    <row r="547">
      <c r="A547" s="6"/>
      <c r="B547" s="4"/>
      <c r="C547" s="4"/>
      <c r="D547" s="6"/>
      <c r="E547" s="6"/>
    </row>
    <row r="548">
      <c r="A548" s="6"/>
      <c r="B548" s="4"/>
      <c r="C548" s="4"/>
      <c r="D548" s="6"/>
      <c r="E548" s="6"/>
    </row>
    <row r="549">
      <c r="A549" s="6"/>
      <c r="B549" s="4"/>
      <c r="C549" s="4"/>
      <c r="D549" s="6"/>
      <c r="E549" s="6"/>
    </row>
    <row r="550">
      <c r="A550" s="6"/>
      <c r="B550" s="4"/>
      <c r="C550" s="4"/>
      <c r="D550" s="6"/>
      <c r="E550" s="6"/>
    </row>
    <row r="551">
      <c r="A551" s="6"/>
      <c r="B551" s="4"/>
      <c r="C551" s="4"/>
      <c r="D551" s="6"/>
      <c r="E551" s="6"/>
    </row>
    <row r="552">
      <c r="A552" s="6"/>
      <c r="B552" s="4"/>
      <c r="C552" s="4"/>
      <c r="D552" s="6"/>
      <c r="E552" s="6"/>
    </row>
    <row r="553">
      <c r="A553" s="6"/>
      <c r="B553" s="4"/>
      <c r="C553" s="4"/>
      <c r="D553" s="6"/>
      <c r="E553" s="6"/>
    </row>
    <row r="554">
      <c r="A554" s="6"/>
      <c r="B554" s="4"/>
      <c r="C554" s="4"/>
      <c r="D554" s="6"/>
      <c r="E554" s="6"/>
    </row>
    <row r="555">
      <c r="A555" s="6"/>
      <c r="B555" s="4"/>
      <c r="C555" s="4"/>
      <c r="D555" s="6"/>
      <c r="E555" s="6"/>
    </row>
    <row r="556">
      <c r="A556" s="6"/>
      <c r="B556" s="4"/>
      <c r="C556" s="4"/>
      <c r="D556" s="6"/>
      <c r="E556" s="6"/>
    </row>
    <row r="557">
      <c r="A557" s="6"/>
      <c r="B557" s="4"/>
      <c r="C557" s="4"/>
      <c r="D557" s="6"/>
      <c r="E557" s="6"/>
    </row>
    <row r="558">
      <c r="A558" s="6"/>
      <c r="B558" s="4"/>
      <c r="C558" s="4"/>
      <c r="D558" s="6"/>
      <c r="E558" s="6"/>
    </row>
    <row r="559">
      <c r="A559" s="6"/>
      <c r="B559" s="4"/>
      <c r="C559" s="4"/>
      <c r="D559" s="6"/>
      <c r="E559" s="6"/>
    </row>
    <row r="560">
      <c r="A560" s="6"/>
      <c r="B560" s="4"/>
      <c r="C560" s="4"/>
      <c r="D560" s="6"/>
      <c r="E560" s="6"/>
    </row>
    <row r="561">
      <c r="A561" s="6"/>
      <c r="B561" s="4"/>
      <c r="C561" s="4"/>
      <c r="D561" s="6"/>
      <c r="E561" s="6"/>
    </row>
    <row r="562">
      <c r="A562" s="6"/>
      <c r="B562" s="4"/>
      <c r="C562" s="4"/>
      <c r="D562" s="6"/>
      <c r="E562" s="6"/>
    </row>
    <row r="563">
      <c r="A563" s="6"/>
      <c r="B563" s="4"/>
      <c r="C563" s="4"/>
      <c r="D563" s="6"/>
      <c r="E563" s="6"/>
    </row>
    <row r="564">
      <c r="A564" s="6"/>
      <c r="B564" s="4"/>
      <c r="C564" s="4"/>
      <c r="D564" s="6"/>
      <c r="E564" s="6"/>
    </row>
    <row r="565">
      <c r="A565" s="6"/>
      <c r="B565" s="4"/>
      <c r="C565" s="4"/>
      <c r="D565" s="6"/>
      <c r="E565" s="6"/>
    </row>
    <row r="566">
      <c r="A566" s="6"/>
      <c r="B566" s="4"/>
      <c r="C566" s="4"/>
      <c r="D566" s="6"/>
      <c r="E566" s="6"/>
    </row>
    <row r="567">
      <c r="A567" s="6"/>
      <c r="B567" s="4"/>
      <c r="C567" s="4"/>
      <c r="D567" s="6"/>
      <c r="E567" s="6"/>
    </row>
    <row r="568">
      <c r="A568" s="6"/>
      <c r="B568" s="4"/>
      <c r="C568" s="4"/>
      <c r="D568" s="6"/>
      <c r="E568" s="6"/>
    </row>
    <row r="569">
      <c r="A569" s="6"/>
      <c r="B569" s="4"/>
      <c r="C569" s="4"/>
      <c r="D569" s="6"/>
      <c r="E569" s="6"/>
    </row>
    <row r="570">
      <c r="A570" s="6"/>
      <c r="B570" s="4"/>
      <c r="C570" s="4"/>
      <c r="D570" s="6"/>
      <c r="E570" s="6"/>
    </row>
    <row r="571">
      <c r="A571" s="6"/>
      <c r="B571" s="4"/>
      <c r="C571" s="4"/>
      <c r="D571" s="6"/>
      <c r="E571" s="6"/>
    </row>
    <row r="572">
      <c r="A572" s="6"/>
      <c r="B572" s="4"/>
      <c r="C572" s="4"/>
      <c r="D572" s="6"/>
      <c r="E572" s="6"/>
    </row>
    <row r="573">
      <c r="A573" s="6"/>
      <c r="B573" s="4"/>
      <c r="C573" s="4"/>
      <c r="D573" s="6"/>
      <c r="E573" s="6"/>
    </row>
    <row r="574">
      <c r="A574" s="6"/>
      <c r="B574" s="4"/>
      <c r="C574" s="4"/>
      <c r="D574" s="6"/>
      <c r="E574" s="6"/>
    </row>
    <row r="575">
      <c r="A575" s="6"/>
      <c r="B575" s="4"/>
      <c r="C575" s="4"/>
      <c r="D575" s="6"/>
      <c r="E575" s="6"/>
    </row>
    <row r="576">
      <c r="A576" s="6"/>
      <c r="B576" s="4"/>
      <c r="C576" s="4"/>
      <c r="D576" s="6"/>
      <c r="E576" s="6"/>
    </row>
    <row r="577">
      <c r="A577" s="6"/>
      <c r="B577" s="4"/>
      <c r="C577" s="4"/>
      <c r="D577" s="6"/>
      <c r="E577" s="6"/>
    </row>
    <row r="578">
      <c r="A578" s="6"/>
      <c r="B578" s="4"/>
      <c r="C578" s="4"/>
      <c r="D578" s="6"/>
      <c r="E578" s="6"/>
    </row>
    <row r="579">
      <c r="A579" s="6"/>
      <c r="B579" s="4"/>
      <c r="C579" s="4"/>
      <c r="D579" s="6"/>
      <c r="E579" s="6"/>
    </row>
    <row r="580">
      <c r="A580" s="6"/>
      <c r="B580" s="4"/>
      <c r="C580" s="4"/>
      <c r="D580" s="6"/>
      <c r="E580" s="6"/>
    </row>
    <row r="581">
      <c r="A581" s="6"/>
      <c r="B581" s="4"/>
      <c r="C581" s="4"/>
      <c r="D581" s="6"/>
      <c r="E581" s="6"/>
    </row>
    <row r="582">
      <c r="A582" s="6"/>
      <c r="B582" s="4"/>
      <c r="C582" s="4"/>
      <c r="D582" s="6"/>
      <c r="E582" s="6"/>
    </row>
    <row r="583">
      <c r="A583" s="6"/>
      <c r="B583" s="4"/>
      <c r="C583" s="4"/>
      <c r="D583" s="6"/>
      <c r="E583" s="6"/>
    </row>
    <row r="584">
      <c r="A584" s="6"/>
      <c r="B584" s="4"/>
      <c r="C584" s="4"/>
      <c r="D584" s="6"/>
      <c r="E584" s="6"/>
    </row>
    <row r="585">
      <c r="A585" s="6"/>
      <c r="B585" s="4"/>
      <c r="C585" s="4"/>
      <c r="D585" s="6"/>
      <c r="E585" s="6"/>
    </row>
    <row r="586">
      <c r="A586" s="6"/>
      <c r="B586" s="4"/>
      <c r="C586" s="4"/>
      <c r="D586" s="6"/>
      <c r="E586" s="6"/>
    </row>
    <row r="587">
      <c r="A587" s="6"/>
      <c r="B587" s="4"/>
      <c r="C587" s="4"/>
      <c r="D587" s="6"/>
      <c r="E587" s="6"/>
    </row>
    <row r="588">
      <c r="A588" s="6"/>
      <c r="B588" s="4"/>
      <c r="C588" s="4"/>
      <c r="D588" s="6"/>
      <c r="E588" s="6"/>
    </row>
    <row r="589">
      <c r="A589" s="6"/>
      <c r="B589" s="4"/>
      <c r="C589" s="4"/>
      <c r="D589" s="6"/>
      <c r="E589" s="6"/>
    </row>
    <row r="590">
      <c r="A590" s="6"/>
      <c r="B590" s="4"/>
      <c r="C590" s="4"/>
      <c r="D590" s="6"/>
      <c r="E590" s="6"/>
    </row>
    <row r="591">
      <c r="A591" s="6"/>
      <c r="B591" s="4"/>
      <c r="C591" s="4"/>
      <c r="D591" s="6"/>
      <c r="E591" s="6"/>
    </row>
    <row r="592">
      <c r="A592" s="6"/>
      <c r="B592" s="4"/>
      <c r="C592" s="4"/>
      <c r="D592" s="6"/>
      <c r="E592" s="6"/>
    </row>
    <row r="593">
      <c r="A593" s="6"/>
      <c r="B593" s="4"/>
      <c r="C593" s="4"/>
      <c r="D593" s="6"/>
      <c r="E593" s="6"/>
    </row>
    <row r="594">
      <c r="A594" s="6"/>
      <c r="B594" s="4"/>
      <c r="C594" s="4"/>
      <c r="D594" s="6"/>
      <c r="E594" s="6"/>
    </row>
    <row r="595">
      <c r="A595" s="6"/>
      <c r="B595" s="4"/>
      <c r="C595" s="4"/>
      <c r="D595" s="6"/>
      <c r="E595" s="6"/>
    </row>
    <row r="596">
      <c r="A596" s="6"/>
      <c r="B596" s="4"/>
      <c r="C596" s="4"/>
      <c r="D596" s="6"/>
      <c r="E596" s="6"/>
    </row>
    <row r="597">
      <c r="A597" s="6"/>
      <c r="B597" s="4"/>
      <c r="C597" s="4"/>
      <c r="D597" s="6"/>
      <c r="E597" s="6"/>
    </row>
    <row r="598">
      <c r="A598" s="6"/>
      <c r="B598" s="4"/>
      <c r="C598" s="4"/>
      <c r="D598" s="6"/>
      <c r="E598" s="6"/>
    </row>
    <row r="599">
      <c r="A599" s="6"/>
      <c r="B599" s="4"/>
      <c r="C599" s="4"/>
      <c r="D599" s="6"/>
      <c r="E599" s="6"/>
    </row>
    <row r="600">
      <c r="A600" s="6"/>
      <c r="B600" s="4"/>
      <c r="C600" s="4"/>
      <c r="D600" s="6"/>
      <c r="E600" s="6"/>
    </row>
    <row r="601">
      <c r="A601" s="6"/>
      <c r="B601" s="4"/>
      <c r="C601" s="4"/>
      <c r="D601" s="6"/>
      <c r="E601" s="6"/>
    </row>
    <row r="602">
      <c r="A602" s="6"/>
      <c r="B602" s="4"/>
      <c r="C602" s="4"/>
      <c r="D602" s="6"/>
      <c r="E602" s="6"/>
    </row>
    <row r="603">
      <c r="A603" s="6"/>
      <c r="B603" s="4"/>
      <c r="C603" s="4"/>
      <c r="D603" s="6"/>
      <c r="E603" s="6"/>
    </row>
    <row r="604">
      <c r="A604" s="6"/>
      <c r="B604" s="4"/>
      <c r="C604" s="4"/>
      <c r="D604" s="6"/>
      <c r="E604" s="6"/>
    </row>
    <row r="605">
      <c r="A605" s="6"/>
      <c r="B605" s="4"/>
      <c r="C605" s="4"/>
      <c r="D605" s="6"/>
      <c r="E605" s="6"/>
    </row>
    <row r="606">
      <c r="A606" s="6"/>
      <c r="B606" s="4"/>
      <c r="C606" s="4"/>
      <c r="D606" s="6"/>
      <c r="E606" s="6"/>
    </row>
    <row r="607">
      <c r="A607" s="6"/>
      <c r="B607" s="4"/>
      <c r="C607" s="4"/>
      <c r="D607" s="6"/>
      <c r="E607" s="6"/>
    </row>
    <row r="608">
      <c r="A608" s="6"/>
      <c r="B608" s="4"/>
      <c r="C608" s="4"/>
      <c r="D608" s="6"/>
      <c r="E608" s="6"/>
    </row>
    <row r="609">
      <c r="A609" s="6"/>
      <c r="B609" s="4"/>
      <c r="C609" s="4"/>
      <c r="D609" s="6"/>
      <c r="E609" s="6"/>
    </row>
    <row r="610">
      <c r="A610" s="6"/>
      <c r="B610" s="4"/>
      <c r="C610" s="4"/>
      <c r="D610" s="6"/>
      <c r="E610" s="6"/>
    </row>
    <row r="611">
      <c r="A611" s="6"/>
      <c r="B611" s="4"/>
      <c r="C611" s="4"/>
      <c r="D611" s="6"/>
      <c r="E611" s="6"/>
    </row>
    <row r="612">
      <c r="A612" s="6"/>
      <c r="B612" s="4"/>
      <c r="C612" s="4"/>
      <c r="D612" s="6"/>
      <c r="E612" s="6"/>
    </row>
    <row r="613">
      <c r="A613" s="6"/>
      <c r="B613" s="4"/>
      <c r="C613" s="4"/>
      <c r="D613" s="6"/>
      <c r="E613" s="6"/>
    </row>
    <row r="614">
      <c r="A614" s="6"/>
      <c r="B614" s="4"/>
      <c r="C614" s="4"/>
      <c r="D614" s="6"/>
      <c r="E614" s="6"/>
    </row>
    <row r="615">
      <c r="A615" s="6"/>
      <c r="B615" s="4"/>
      <c r="C615" s="4"/>
      <c r="D615" s="6"/>
      <c r="E615" s="6"/>
    </row>
    <row r="616">
      <c r="A616" s="6"/>
      <c r="B616" s="4"/>
      <c r="C616" s="4"/>
      <c r="D616" s="6"/>
      <c r="E616" s="6"/>
    </row>
    <row r="617">
      <c r="A617" s="6"/>
      <c r="B617" s="4"/>
      <c r="C617" s="4"/>
      <c r="D617" s="6"/>
      <c r="E617" s="6"/>
    </row>
    <row r="618">
      <c r="A618" s="6"/>
      <c r="B618" s="4"/>
      <c r="C618" s="4"/>
      <c r="D618" s="6"/>
      <c r="E618" s="6"/>
    </row>
    <row r="619">
      <c r="A619" s="6"/>
      <c r="B619" s="4"/>
      <c r="C619" s="4"/>
      <c r="D619" s="6"/>
      <c r="E619" s="6"/>
    </row>
    <row r="620">
      <c r="A620" s="6"/>
      <c r="B620" s="4"/>
      <c r="C620" s="4"/>
      <c r="D620" s="6"/>
      <c r="E620" s="6"/>
    </row>
    <row r="621">
      <c r="A621" s="6"/>
      <c r="B621" s="4"/>
      <c r="C621" s="4"/>
      <c r="D621" s="6"/>
      <c r="E621" s="6"/>
    </row>
    <row r="622">
      <c r="A622" s="6"/>
      <c r="B622" s="4"/>
      <c r="C622" s="4"/>
      <c r="D622" s="6"/>
      <c r="E622" s="6"/>
    </row>
    <row r="623">
      <c r="A623" s="6"/>
      <c r="B623" s="4"/>
      <c r="C623" s="4"/>
      <c r="D623" s="6"/>
      <c r="E623" s="6"/>
    </row>
    <row r="624">
      <c r="A624" s="6"/>
      <c r="B624" s="4"/>
      <c r="C624" s="4"/>
      <c r="D624" s="6"/>
      <c r="E624" s="6"/>
    </row>
    <row r="625">
      <c r="A625" s="6"/>
      <c r="B625" s="4"/>
      <c r="C625" s="4"/>
      <c r="D625" s="6"/>
      <c r="E625" s="6"/>
    </row>
    <row r="626">
      <c r="A626" s="6"/>
      <c r="B626" s="4"/>
      <c r="C626" s="4"/>
      <c r="D626" s="6"/>
      <c r="E626" s="6"/>
    </row>
    <row r="627">
      <c r="A627" s="6"/>
      <c r="B627" s="4"/>
      <c r="C627" s="4"/>
      <c r="D627" s="6"/>
      <c r="E627" s="6"/>
    </row>
    <row r="628">
      <c r="A628" s="6"/>
      <c r="B628" s="4"/>
      <c r="C628" s="4"/>
      <c r="D628" s="6"/>
      <c r="E628" s="6"/>
    </row>
    <row r="629">
      <c r="A629" s="6"/>
      <c r="B629" s="4"/>
      <c r="C629" s="4"/>
      <c r="D629" s="6"/>
      <c r="E629" s="6"/>
    </row>
    <row r="630">
      <c r="A630" s="6"/>
      <c r="B630" s="4"/>
      <c r="C630" s="4"/>
      <c r="D630" s="6"/>
      <c r="E630" s="6"/>
    </row>
    <row r="631">
      <c r="A631" s="6"/>
      <c r="B631" s="4"/>
      <c r="C631" s="4"/>
      <c r="D631" s="6"/>
      <c r="E631" s="6"/>
    </row>
    <row r="632">
      <c r="A632" s="6"/>
      <c r="B632" s="4"/>
      <c r="C632" s="4"/>
      <c r="D632" s="6"/>
      <c r="E632" s="6"/>
    </row>
    <row r="633">
      <c r="A633" s="6"/>
      <c r="B633" s="4"/>
      <c r="C633" s="4"/>
      <c r="D633" s="6"/>
      <c r="E633" s="6"/>
    </row>
    <row r="634">
      <c r="A634" s="6"/>
      <c r="B634" s="4"/>
      <c r="C634" s="4"/>
      <c r="D634" s="6"/>
      <c r="E634" s="6"/>
    </row>
    <row r="635">
      <c r="A635" s="6"/>
      <c r="B635" s="4"/>
      <c r="C635" s="4"/>
      <c r="D635" s="6"/>
      <c r="E635" s="6"/>
    </row>
    <row r="636">
      <c r="A636" s="6"/>
      <c r="B636" s="4"/>
      <c r="C636" s="4"/>
      <c r="D636" s="6"/>
      <c r="E636" s="6"/>
    </row>
    <row r="637">
      <c r="A637" s="6"/>
      <c r="B637" s="4"/>
      <c r="C637" s="4"/>
      <c r="D637" s="6"/>
      <c r="E637" s="6"/>
    </row>
    <row r="638">
      <c r="A638" s="6"/>
      <c r="B638" s="4"/>
      <c r="C638" s="4"/>
      <c r="D638" s="6"/>
      <c r="E638" s="6"/>
    </row>
    <row r="639">
      <c r="A639" s="6"/>
      <c r="B639" s="4"/>
      <c r="C639" s="4"/>
      <c r="D639" s="6"/>
      <c r="E639" s="6"/>
    </row>
    <row r="640">
      <c r="A640" s="6"/>
      <c r="B640" s="4"/>
      <c r="C640" s="4"/>
      <c r="D640" s="6"/>
      <c r="E640" s="6"/>
    </row>
    <row r="641">
      <c r="A641" s="6"/>
      <c r="B641" s="4"/>
      <c r="C641" s="4"/>
      <c r="D641" s="6"/>
      <c r="E641" s="6"/>
    </row>
    <row r="642">
      <c r="A642" s="6"/>
      <c r="B642" s="4"/>
      <c r="C642" s="4"/>
      <c r="D642" s="6"/>
      <c r="E642" s="6"/>
    </row>
    <row r="643">
      <c r="A643" s="6"/>
      <c r="B643" s="4"/>
      <c r="C643" s="4"/>
      <c r="D643" s="6"/>
      <c r="E643" s="6"/>
    </row>
    <row r="644">
      <c r="A644" s="6"/>
      <c r="B644" s="4"/>
      <c r="C644" s="4"/>
      <c r="D644" s="6"/>
      <c r="E644" s="6"/>
    </row>
    <row r="645">
      <c r="A645" s="6"/>
      <c r="B645" s="4"/>
      <c r="C645" s="4"/>
      <c r="D645" s="6"/>
      <c r="E645" s="6"/>
    </row>
    <row r="646">
      <c r="A646" s="6"/>
      <c r="B646" s="4"/>
      <c r="C646" s="4"/>
      <c r="D646" s="6"/>
      <c r="E646" s="6"/>
    </row>
    <row r="647">
      <c r="A647" s="6"/>
      <c r="B647" s="4"/>
      <c r="C647" s="4"/>
      <c r="D647" s="6"/>
      <c r="E647" s="6"/>
    </row>
    <row r="648">
      <c r="A648" s="6"/>
      <c r="B648" s="4"/>
      <c r="C648" s="4"/>
      <c r="D648" s="6"/>
      <c r="E648" s="6"/>
    </row>
    <row r="649">
      <c r="A649" s="6"/>
      <c r="B649" s="4"/>
      <c r="C649" s="4"/>
      <c r="D649" s="6"/>
      <c r="E649" s="6"/>
    </row>
    <row r="650">
      <c r="A650" s="6"/>
      <c r="B650" s="4"/>
      <c r="C650" s="4"/>
      <c r="D650" s="6"/>
      <c r="E650" s="6"/>
    </row>
    <row r="651">
      <c r="A651" s="6"/>
      <c r="B651" s="4"/>
      <c r="C651" s="4"/>
      <c r="D651" s="6"/>
      <c r="E651" s="6"/>
    </row>
    <row r="652">
      <c r="A652" s="6"/>
      <c r="B652" s="4"/>
      <c r="C652" s="4"/>
      <c r="D652" s="6"/>
      <c r="E652" s="6"/>
    </row>
    <row r="653">
      <c r="A653" s="6"/>
      <c r="B653" s="4"/>
      <c r="C653" s="4"/>
      <c r="D653" s="6"/>
      <c r="E653" s="6"/>
    </row>
    <row r="654">
      <c r="A654" s="6"/>
      <c r="B654" s="4"/>
      <c r="C654" s="4"/>
      <c r="D654" s="6"/>
      <c r="E654" s="6"/>
    </row>
    <row r="655">
      <c r="A655" s="6"/>
      <c r="B655" s="4"/>
      <c r="C655" s="4"/>
      <c r="D655" s="6"/>
      <c r="E655" s="6"/>
    </row>
    <row r="656">
      <c r="A656" s="6"/>
      <c r="B656" s="4"/>
      <c r="C656" s="4"/>
      <c r="D656" s="6"/>
      <c r="E656" s="6"/>
    </row>
    <row r="657">
      <c r="A657" s="6"/>
      <c r="B657" s="4"/>
      <c r="C657" s="4"/>
      <c r="D657" s="6"/>
      <c r="E657" s="6"/>
    </row>
    <row r="658">
      <c r="A658" s="6"/>
      <c r="B658" s="4"/>
      <c r="C658" s="4"/>
      <c r="D658" s="6"/>
      <c r="E658" s="6"/>
    </row>
    <row r="659">
      <c r="A659" s="6"/>
      <c r="B659" s="4"/>
      <c r="C659" s="4"/>
      <c r="D659" s="6"/>
      <c r="E659" s="6"/>
    </row>
    <row r="660">
      <c r="A660" s="6"/>
      <c r="B660" s="4"/>
      <c r="C660" s="4"/>
      <c r="D660" s="6"/>
      <c r="E660" s="6"/>
    </row>
    <row r="661">
      <c r="A661" s="6"/>
      <c r="B661" s="4"/>
      <c r="C661" s="4"/>
      <c r="D661" s="6"/>
      <c r="E661" s="6"/>
    </row>
    <row r="662">
      <c r="A662" s="6"/>
      <c r="B662" s="4"/>
      <c r="C662" s="4"/>
      <c r="D662" s="6"/>
      <c r="E662" s="6"/>
    </row>
    <row r="663">
      <c r="A663" s="6"/>
      <c r="B663" s="4"/>
      <c r="C663" s="4"/>
      <c r="D663" s="6"/>
      <c r="E663" s="6"/>
    </row>
    <row r="664">
      <c r="A664" s="6"/>
      <c r="B664" s="4"/>
      <c r="C664" s="4"/>
      <c r="D664" s="6"/>
      <c r="E664" s="6"/>
    </row>
    <row r="665">
      <c r="A665" s="6"/>
      <c r="B665" s="4"/>
      <c r="C665" s="4"/>
      <c r="D665" s="6"/>
      <c r="E665" s="6"/>
    </row>
    <row r="666">
      <c r="A666" s="6"/>
      <c r="B666" s="4"/>
      <c r="C666" s="4"/>
      <c r="D666" s="6"/>
      <c r="E666" s="6"/>
    </row>
    <row r="667">
      <c r="A667" s="6"/>
      <c r="B667" s="4"/>
      <c r="C667" s="4"/>
      <c r="D667" s="6"/>
      <c r="E667" s="6"/>
    </row>
    <row r="668">
      <c r="A668" s="6"/>
      <c r="B668" s="4"/>
      <c r="C668" s="4"/>
      <c r="D668" s="6"/>
      <c r="E668" s="6"/>
    </row>
    <row r="669">
      <c r="A669" s="6"/>
      <c r="B669" s="4"/>
      <c r="C669" s="4"/>
      <c r="D669" s="6"/>
      <c r="E669" s="6"/>
    </row>
    <row r="670">
      <c r="A670" s="6"/>
      <c r="B670" s="4"/>
      <c r="C670" s="4"/>
      <c r="D670" s="6"/>
      <c r="E670" s="6"/>
    </row>
    <row r="671">
      <c r="A671" s="6"/>
      <c r="B671" s="4"/>
      <c r="C671" s="4"/>
      <c r="D671" s="6"/>
      <c r="E671" s="6"/>
    </row>
    <row r="672">
      <c r="A672" s="6"/>
      <c r="B672" s="4"/>
      <c r="C672" s="4"/>
      <c r="D672" s="6"/>
      <c r="E672" s="6"/>
    </row>
    <row r="673">
      <c r="A673" s="6"/>
      <c r="B673" s="4"/>
      <c r="C673" s="4"/>
      <c r="D673" s="6"/>
      <c r="E673" s="6"/>
    </row>
    <row r="674">
      <c r="A674" s="6"/>
      <c r="B674" s="4"/>
      <c r="C674" s="4"/>
      <c r="D674" s="6"/>
      <c r="E674" s="6"/>
    </row>
    <row r="675">
      <c r="A675" s="6"/>
      <c r="B675" s="4"/>
      <c r="C675" s="4"/>
      <c r="D675" s="6"/>
      <c r="E675" s="6"/>
    </row>
    <row r="676">
      <c r="A676" s="6"/>
      <c r="B676" s="4"/>
      <c r="C676" s="4"/>
      <c r="D676" s="6"/>
      <c r="E676" s="6"/>
    </row>
    <row r="677">
      <c r="A677" s="6"/>
      <c r="B677" s="4"/>
      <c r="C677" s="4"/>
      <c r="D677" s="6"/>
      <c r="E677" s="6"/>
    </row>
    <row r="678">
      <c r="A678" s="6"/>
      <c r="B678" s="4"/>
      <c r="C678" s="4"/>
      <c r="D678" s="6"/>
      <c r="E678" s="6"/>
    </row>
    <row r="679">
      <c r="A679" s="6"/>
      <c r="B679" s="4"/>
      <c r="C679" s="4"/>
      <c r="D679" s="6"/>
      <c r="E679" s="6"/>
    </row>
    <row r="680">
      <c r="A680" s="6"/>
      <c r="B680" s="4"/>
      <c r="C680" s="4"/>
      <c r="D680" s="6"/>
      <c r="E680" s="6"/>
    </row>
    <row r="681">
      <c r="A681" s="6"/>
      <c r="B681" s="4"/>
      <c r="C681" s="4"/>
      <c r="D681" s="6"/>
      <c r="E681" s="6"/>
    </row>
    <row r="682">
      <c r="A682" s="6"/>
      <c r="B682" s="4"/>
      <c r="C682" s="4"/>
      <c r="D682" s="6"/>
      <c r="E682" s="6"/>
    </row>
    <row r="683">
      <c r="A683" s="6"/>
      <c r="B683" s="4"/>
      <c r="C683" s="4"/>
      <c r="D683" s="6"/>
      <c r="E683" s="6"/>
    </row>
    <row r="684">
      <c r="A684" s="6"/>
      <c r="B684" s="4"/>
      <c r="C684" s="4"/>
      <c r="D684" s="6"/>
      <c r="E684" s="6"/>
    </row>
    <row r="685">
      <c r="A685" s="6"/>
      <c r="B685" s="4"/>
      <c r="C685" s="4"/>
      <c r="D685" s="6"/>
      <c r="E685" s="6"/>
    </row>
    <row r="686">
      <c r="A686" s="6"/>
      <c r="B686" s="4"/>
      <c r="C686" s="4"/>
      <c r="D686" s="6"/>
      <c r="E686" s="6"/>
    </row>
    <row r="687">
      <c r="A687" s="6"/>
      <c r="B687" s="4"/>
      <c r="C687" s="4"/>
      <c r="D687" s="6"/>
      <c r="E687" s="6"/>
    </row>
    <row r="688">
      <c r="A688" s="6"/>
      <c r="B688" s="4"/>
      <c r="C688" s="4"/>
      <c r="D688" s="6"/>
      <c r="E688" s="6"/>
    </row>
    <row r="689">
      <c r="A689" s="6"/>
      <c r="B689" s="4"/>
      <c r="C689" s="4"/>
      <c r="D689" s="6"/>
      <c r="E689" s="6"/>
    </row>
    <row r="690">
      <c r="A690" s="6"/>
      <c r="B690" s="4"/>
      <c r="C690" s="4"/>
      <c r="D690" s="6"/>
      <c r="E690" s="6"/>
    </row>
    <row r="691">
      <c r="A691" s="6"/>
      <c r="B691" s="4"/>
      <c r="C691" s="4"/>
      <c r="D691" s="6"/>
      <c r="E691" s="6"/>
    </row>
    <row r="692">
      <c r="A692" s="6"/>
      <c r="B692" s="4"/>
      <c r="C692" s="4"/>
      <c r="D692" s="6"/>
      <c r="E692" s="6"/>
    </row>
    <row r="693">
      <c r="A693" s="6"/>
      <c r="B693" s="4"/>
      <c r="C693" s="4"/>
      <c r="D693" s="6"/>
      <c r="E693" s="6"/>
    </row>
    <row r="694">
      <c r="A694" s="6"/>
      <c r="B694" s="4"/>
      <c r="C694" s="4"/>
      <c r="D694" s="6"/>
      <c r="E694" s="6"/>
    </row>
    <row r="695">
      <c r="A695" s="6"/>
      <c r="B695" s="4"/>
      <c r="C695" s="4"/>
      <c r="D695" s="6"/>
      <c r="E695" s="6"/>
    </row>
    <row r="696">
      <c r="A696" s="6"/>
      <c r="B696" s="4"/>
      <c r="C696" s="4"/>
      <c r="D696" s="6"/>
      <c r="E696" s="6"/>
    </row>
    <row r="697">
      <c r="A697" s="6"/>
      <c r="B697" s="4"/>
      <c r="C697" s="4"/>
      <c r="D697" s="6"/>
      <c r="E697" s="6"/>
    </row>
    <row r="698">
      <c r="A698" s="6"/>
      <c r="B698" s="4"/>
      <c r="C698" s="4"/>
      <c r="D698" s="6"/>
      <c r="E698" s="6"/>
    </row>
    <row r="699">
      <c r="A699" s="6"/>
      <c r="B699" s="4"/>
      <c r="C699" s="4"/>
      <c r="D699" s="6"/>
      <c r="E699" s="6"/>
    </row>
    <row r="700">
      <c r="A700" s="6"/>
      <c r="B700" s="4"/>
      <c r="C700" s="4"/>
      <c r="D700" s="6"/>
      <c r="E700" s="6"/>
    </row>
    <row r="701">
      <c r="A701" s="6"/>
      <c r="B701" s="4"/>
      <c r="C701" s="4"/>
      <c r="D701" s="6"/>
      <c r="E701" s="6"/>
    </row>
    <row r="702">
      <c r="A702" s="6"/>
      <c r="B702" s="4"/>
      <c r="C702" s="4"/>
      <c r="D702" s="6"/>
      <c r="E702" s="6"/>
    </row>
    <row r="703">
      <c r="A703" s="6"/>
      <c r="B703" s="4"/>
      <c r="C703" s="4"/>
      <c r="D703" s="6"/>
      <c r="E703" s="6"/>
    </row>
    <row r="704">
      <c r="A704" s="6"/>
      <c r="B704" s="4"/>
      <c r="C704" s="4"/>
      <c r="D704" s="6"/>
      <c r="E704" s="6"/>
    </row>
    <row r="705">
      <c r="A705" s="6"/>
      <c r="B705" s="4"/>
      <c r="C705" s="4"/>
      <c r="D705" s="6"/>
      <c r="E705" s="6"/>
    </row>
    <row r="706">
      <c r="A706" s="6"/>
      <c r="B706" s="4"/>
      <c r="C706" s="4"/>
      <c r="D706" s="6"/>
      <c r="E706" s="6"/>
    </row>
    <row r="707">
      <c r="A707" s="6"/>
      <c r="B707" s="4"/>
      <c r="C707" s="4"/>
      <c r="D707" s="6"/>
      <c r="E707" s="6"/>
    </row>
    <row r="708">
      <c r="A708" s="6"/>
      <c r="B708" s="4"/>
      <c r="C708" s="4"/>
      <c r="D708" s="6"/>
      <c r="E708" s="6"/>
    </row>
    <row r="709">
      <c r="A709" s="6"/>
      <c r="B709" s="4"/>
      <c r="C709" s="4"/>
      <c r="D709" s="6"/>
      <c r="E709" s="6"/>
    </row>
    <row r="710">
      <c r="A710" s="6"/>
      <c r="B710" s="4"/>
      <c r="C710" s="4"/>
      <c r="D710" s="6"/>
      <c r="E710" s="6"/>
    </row>
    <row r="711">
      <c r="A711" s="6"/>
      <c r="B711" s="4"/>
      <c r="C711" s="4"/>
      <c r="D711" s="6"/>
      <c r="E711" s="6"/>
    </row>
    <row r="712">
      <c r="A712" s="6"/>
      <c r="B712" s="4"/>
      <c r="C712" s="4"/>
      <c r="D712" s="6"/>
      <c r="E712" s="6"/>
    </row>
    <row r="713">
      <c r="A713" s="6"/>
      <c r="B713" s="4"/>
      <c r="C713" s="4"/>
      <c r="D713" s="6"/>
      <c r="E713" s="6"/>
    </row>
    <row r="714">
      <c r="A714" s="6"/>
      <c r="B714" s="4"/>
      <c r="C714" s="4"/>
      <c r="D714" s="6"/>
      <c r="E714" s="6"/>
    </row>
    <row r="715">
      <c r="A715" s="6"/>
      <c r="B715" s="4"/>
      <c r="C715" s="4"/>
      <c r="D715" s="6"/>
      <c r="E715" s="6"/>
    </row>
    <row r="716">
      <c r="A716" s="6"/>
      <c r="B716" s="4"/>
      <c r="C716" s="4"/>
      <c r="D716" s="6"/>
      <c r="E716" s="6"/>
    </row>
    <row r="717">
      <c r="A717" s="6"/>
      <c r="B717" s="4"/>
      <c r="C717" s="4"/>
      <c r="D717" s="6"/>
      <c r="E717" s="6"/>
    </row>
    <row r="718">
      <c r="A718" s="6"/>
      <c r="B718" s="4"/>
      <c r="C718" s="4"/>
      <c r="D718" s="6"/>
      <c r="E718" s="6"/>
    </row>
    <row r="719">
      <c r="A719" s="6"/>
      <c r="B719" s="4"/>
      <c r="C719" s="4"/>
      <c r="D719" s="6"/>
      <c r="E719" s="6"/>
    </row>
    <row r="720">
      <c r="A720" s="6"/>
      <c r="B720" s="4"/>
      <c r="C720" s="4"/>
      <c r="D720" s="6"/>
      <c r="E720" s="6"/>
    </row>
    <row r="721">
      <c r="A721" s="6"/>
      <c r="B721" s="4"/>
      <c r="C721" s="4"/>
      <c r="D721" s="6"/>
      <c r="E721" s="6"/>
    </row>
    <row r="722">
      <c r="A722" s="6"/>
      <c r="B722" s="4"/>
      <c r="C722" s="4"/>
      <c r="D722" s="6"/>
      <c r="E722" s="6"/>
    </row>
    <row r="723">
      <c r="A723" s="6"/>
      <c r="B723" s="4"/>
      <c r="C723" s="4"/>
      <c r="D723" s="6"/>
      <c r="E723" s="6"/>
    </row>
    <row r="724">
      <c r="A724" s="6"/>
      <c r="B724" s="4"/>
      <c r="C724" s="4"/>
      <c r="D724" s="6"/>
      <c r="E724" s="6"/>
    </row>
    <row r="725">
      <c r="A725" s="6"/>
      <c r="B725" s="4"/>
      <c r="C725" s="4"/>
      <c r="D725" s="6"/>
      <c r="E725" s="6"/>
    </row>
    <row r="726">
      <c r="A726" s="6"/>
      <c r="B726" s="4"/>
      <c r="C726" s="4"/>
      <c r="D726" s="6"/>
      <c r="E726" s="6"/>
    </row>
    <row r="727">
      <c r="A727" s="6"/>
      <c r="B727" s="4"/>
      <c r="C727" s="4"/>
      <c r="D727" s="6"/>
      <c r="E727" s="6"/>
    </row>
    <row r="728">
      <c r="A728" s="6"/>
      <c r="B728" s="4"/>
      <c r="C728" s="4"/>
      <c r="D728" s="6"/>
      <c r="E728" s="6"/>
    </row>
    <row r="729">
      <c r="A729" s="6"/>
      <c r="B729" s="4"/>
      <c r="C729" s="4"/>
      <c r="D729" s="6"/>
      <c r="E729" s="6"/>
    </row>
    <row r="730">
      <c r="A730" s="6"/>
      <c r="B730" s="4"/>
      <c r="C730" s="4"/>
      <c r="D730" s="6"/>
      <c r="E730" s="6"/>
    </row>
    <row r="731">
      <c r="A731" s="6"/>
      <c r="B731" s="4"/>
      <c r="C731" s="4"/>
      <c r="D731" s="6"/>
      <c r="E731" s="6"/>
    </row>
    <row r="732">
      <c r="A732" s="6"/>
      <c r="B732" s="4"/>
      <c r="C732" s="4"/>
      <c r="D732" s="6"/>
      <c r="E732" s="6"/>
    </row>
    <row r="733">
      <c r="A733" s="6"/>
      <c r="B733" s="4"/>
      <c r="C733" s="4"/>
      <c r="D733" s="6"/>
      <c r="E733" s="6"/>
    </row>
    <row r="734">
      <c r="A734" s="6"/>
      <c r="B734" s="4"/>
      <c r="C734" s="4"/>
      <c r="D734" s="6"/>
      <c r="E734" s="6"/>
    </row>
    <row r="735">
      <c r="A735" s="6"/>
      <c r="B735" s="4"/>
      <c r="C735" s="4"/>
      <c r="D735" s="6"/>
      <c r="E735" s="6"/>
    </row>
    <row r="736">
      <c r="A736" s="6"/>
      <c r="B736" s="4"/>
      <c r="C736" s="4"/>
      <c r="D736" s="6"/>
      <c r="E736" s="6"/>
    </row>
    <row r="737">
      <c r="A737" s="6"/>
      <c r="B737" s="4"/>
      <c r="C737" s="4"/>
      <c r="D737" s="6"/>
      <c r="E737" s="6"/>
    </row>
    <row r="738">
      <c r="A738" s="6"/>
      <c r="B738" s="4"/>
      <c r="C738" s="4"/>
      <c r="D738" s="6"/>
      <c r="E738" s="6"/>
    </row>
    <row r="739">
      <c r="A739" s="6"/>
      <c r="B739" s="4"/>
      <c r="C739" s="4"/>
      <c r="D739" s="6"/>
      <c r="E739" s="6"/>
    </row>
    <row r="740">
      <c r="A740" s="6"/>
      <c r="B740" s="4"/>
      <c r="C740" s="4"/>
      <c r="D740" s="6"/>
      <c r="E740" s="6"/>
    </row>
    <row r="741">
      <c r="A741" s="6"/>
      <c r="B741" s="4"/>
      <c r="C741" s="4"/>
      <c r="D741" s="6"/>
      <c r="E741" s="6"/>
    </row>
    <row r="742">
      <c r="A742" s="6"/>
      <c r="B742" s="4"/>
      <c r="C742" s="4"/>
      <c r="D742" s="6"/>
      <c r="E742" s="6"/>
    </row>
    <row r="743">
      <c r="A743" s="6"/>
      <c r="B743" s="4"/>
      <c r="C743" s="4"/>
      <c r="D743" s="6"/>
      <c r="E743" s="6"/>
    </row>
    <row r="744">
      <c r="A744" s="6"/>
      <c r="B744" s="4"/>
      <c r="C744" s="4"/>
      <c r="D744" s="6"/>
      <c r="E744" s="6"/>
    </row>
    <row r="745">
      <c r="A745" s="6"/>
      <c r="B745" s="4"/>
      <c r="C745" s="4"/>
      <c r="D745" s="6"/>
      <c r="E745" s="6"/>
    </row>
    <row r="746">
      <c r="A746" s="6"/>
      <c r="B746" s="4"/>
      <c r="C746" s="4"/>
      <c r="D746" s="6"/>
      <c r="E746" s="6"/>
    </row>
    <row r="747">
      <c r="A747" s="6"/>
      <c r="B747" s="4"/>
      <c r="C747" s="4"/>
      <c r="D747" s="6"/>
      <c r="E747" s="6"/>
    </row>
    <row r="748">
      <c r="A748" s="6"/>
      <c r="B748" s="4"/>
      <c r="C748" s="4"/>
      <c r="D748" s="6"/>
      <c r="E748" s="6"/>
    </row>
    <row r="749">
      <c r="A749" s="6"/>
      <c r="B749" s="4"/>
      <c r="C749" s="4"/>
      <c r="D749" s="6"/>
      <c r="E749" s="6"/>
    </row>
    <row r="750">
      <c r="A750" s="6"/>
      <c r="B750" s="4"/>
      <c r="C750" s="4"/>
      <c r="D750" s="6"/>
      <c r="E750" s="6"/>
    </row>
    <row r="751">
      <c r="A751" s="6"/>
      <c r="B751" s="4"/>
      <c r="C751" s="4"/>
      <c r="D751" s="6"/>
      <c r="E751" s="6"/>
    </row>
    <row r="752">
      <c r="A752" s="6"/>
      <c r="B752" s="4"/>
      <c r="C752" s="4"/>
      <c r="D752" s="6"/>
      <c r="E752" s="6"/>
    </row>
    <row r="753">
      <c r="A753" s="6"/>
      <c r="B753" s="4"/>
      <c r="C753" s="4"/>
      <c r="D753" s="6"/>
      <c r="E753" s="6"/>
    </row>
    <row r="754">
      <c r="A754" s="6"/>
      <c r="B754" s="4"/>
      <c r="C754" s="4"/>
      <c r="D754" s="6"/>
      <c r="E754" s="6"/>
    </row>
    <row r="755">
      <c r="A755" s="6"/>
      <c r="B755" s="4"/>
      <c r="C755" s="4"/>
      <c r="D755" s="6"/>
      <c r="E755" s="6"/>
    </row>
    <row r="756">
      <c r="A756" s="6"/>
      <c r="B756" s="4"/>
      <c r="C756" s="4"/>
      <c r="D756" s="6"/>
      <c r="E756" s="6"/>
    </row>
    <row r="757">
      <c r="A757" s="6"/>
      <c r="B757" s="4"/>
      <c r="C757" s="4"/>
      <c r="D757" s="6"/>
      <c r="E757" s="6"/>
    </row>
    <row r="758">
      <c r="A758" s="6"/>
      <c r="B758" s="4"/>
      <c r="C758" s="4"/>
      <c r="D758" s="6"/>
      <c r="E758" s="6"/>
    </row>
    <row r="759">
      <c r="A759" s="6"/>
      <c r="B759" s="4"/>
      <c r="C759" s="4"/>
      <c r="D759" s="6"/>
      <c r="E759" s="6"/>
    </row>
    <row r="760">
      <c r="A760" s="6"/>
      <c r="B760" s="4"/>
      <c r="C760" s="4"/>
      <c r="D760" s="6"/>
      <c r="E760" s="6"/>
    </row>
    <row r="761">
      <c r="A761" s="6"/>
      <c r="B761" s="4"/>
      <c r="C761" s="4"/>
      <c r="D761" s="6"/>
      <c r="E761" s="6"/>
    </row>
    <row r="762">
      <c r="A762" s="6"/>
      <c r="B762" s="4"/>
      <c r="C762" s="4"/>
      <c r="D762" s="6"/>
      <c r="E762" s="6"/>
    </row>
    <row r="763">
      <c r="A763" s="6"/>
      <c r="B763" s="4"/>
      <c r="C763" s="4"/>
      <c r="D763" s="6"/>
      <c r="E763" s="6"/>
    </row>
    <row r="764">
      <c r="A764" s="6"/>
      <c r="B764" s="4"/>
      <c r="C764" s="4"/>
      <c r="D764" s="6"/>
      <c r="E764" s="6"/>
    </row>
    <row r="765">
      <c r="A765" s="6"/>
      <c r="B765" s="4"/>
      <c r="C765" s="4"/>
      <c r="D765" s="6"/>
      <c r="E765" s="6"/>
    </row>
    <row r="766">
      <c r="A766" s="6"/>
      <c r="B766" s="4"/>
      <c r="C766" s="4"/>
      <c r="D766" s="6"/>
      <c r="E766" s="6"/>
    </row>
    <row r="767">
      <c r="A767" s="6"/>
      <c r="B767" s="4"/>
      <c r="C767" s="4"/>
      <c r="D767" s="6"/>
      <c r="E767" s="6"/>
    </row>
    <row r="768">
      <c r="A768" s="6"/>
      <c r="B768" s="4"/>
      <c r="C768" s="4"/>
      <c r="D768" s="6"/>
      <c r="E768" s="6"/>
    </row>
    <row r="769">
      <c r="A769" s="6"/>
      <c r="B769" s="4"/>
      <c r="C769" s="4"/>
      <c r="D769" s="6"/>
      <c r="E769" s="6"/>
    </row>
    <row r="770">
      <c r="A770" s="6"/>
      <c r="B770" s="4"/>
      <c r="C770" s="4"/>
      <c r="D770" s="6"/>
      <c r="E770" s="6"/>
    </row>
    <row r="771">
      <c r="A771" s="6"/>
      <c r="B771" s="4"/>
      <c r="C771" s="4"/>
      <c r="D771" s="6"/>
      <c r="E771" s="6"/>
    </row>
    <row r="772">
      <c r="A772" s="6"/>
      <c r="B772" s="4"/>
      <c r="C772" s="4"/>
      <c r="D772" s="6"/>
      <c r="E772" s="6"/>
    </row>
    <row r="773">
      <c r="A773" s="6"/>
      <c r="B773" s="4"/>
      <c r="C773" s="4"/>
      <c r="D773" s="6"/>
      <c r="E773" s="6"/>
    </row>
    <row r="774">
      <c r="A774" s="6"/>
      <c r="B774" s="4"/>
      <c r="C774" s="4"/>
      <c r="D774" s="6"/>
      <c r="E774" s="6"/>
    </row>
    <row r="775">
      <c r="A775" s="6"/>
      <c r="B775" s="4"/>
      <c r="C775" s="4"/>
      <c r="D775" s="6"/>
      <c r="E775" s="6"/>
    </row>
    <row r="776">
      <c r="A776" s="6"/>
      <c r="B776" s="4"/>
      <c r="C776" s="4"/>
      <c r="D776" s="6"/>
      <c r="E776" s="6"/>
    </row>
    <row r="777">
      <c r="A777" s="6"/>
      <c r="B777" s="4"/>
      <c r="C777" s="4"/>
      <c r="D777" s="6"/>
      <c r="E777" s="6"/>
    </row>
    <row r="778">
      <c r="A778" s="6"/>
      <c r="B778" s="4"/>
      <c r="C778" s="4"/>
      <c r="D778" s="6"/>
      <c r="E778" s="6"/>
    </row>
    <row r="779">
      <c r="A779" s="6"/>
      <c r="B779" s="4"/>
      <c r="C779" s="4"/>
      <c r="D779" s="6"/>
      <c r="E779" s="6"/>
    </row>
    <row r="780">
      <c r="A780" s="6"/>
      <c r="B780" s="4"/>
      <c r="C780" s="4"/>
      <c r="D780" s="6"/>
      <c r="E780" s="6"/>
    </row>
    <row r="781">
      <c r="A781" s="6"/>
      <c r="B781" s="4"/>
      <c r="C781" s="4"/>
      <c r="D781" s="6"/>
      <c r="E781" s="6"/>
    </row>
    <row r="782">
      <c r="A782" s="6"/>
      <c r="B782" s="4"/>
      <c r="C782" s="4"/>
      <c r="D782" s="6"/>
      <c r="E782" s="6"/>
    </row>
    <row r="783">
      <c r="A783" s="6"/>
      <c r="B783" s="4"/>
      <c r="C783" s="4"/>
      <c r="D783" s="6"/>
      <c r="E783" s="6"/>
    </row>
    <row r="784">
      <c r="A784" s="6"/>
      <c r="B784" s="4"/>
      <c r="C784" s="4"/>
      <c r="D784" s="6"/>
      <c r="E784" s="6"/>
    </row>
    <row r="785">
      <c r="A785" s="6"/>
      <c r="B785" s="4"/>
      <c r="C785" s="4"/>
      <c r="D785" s="6"/>
      <c r="E785" s="6"/>
    </row>
    <row r="786">
      <c r="A786" s="6"/>
      <c r="B786" s="4"/>
      <c r="C786" s="4"/>
      <c r="D786" s="6"/>
      <c r="E786" s="6"/>
    </row>
    <row r="787">
      <c r="A787" s="6"/>
      <c r="B787" s="4"/>
      <c r="C787" s="4"/>
      <c r="D787" s="6"/>
      <c r="E787" s="6"/>
    </row>
    <row r="788">
      <c r="A788" s="6"/>
      <c r="B788" s="4"/>
      <c r="C788" s="4"/>
      <c r="D788" s="6"/>
      <c r="E788" s="6"/>
    </row>
    <row r="789">
      <c r="A789" s="6"/>
      <c r="B789" s="4"/>
      <c r="C789" s="4"/>
      <c r="D789" s="6"/>
      <c r="E789" s="6"/>
    </row>
    <row r="790">
      <c r="A790" s="6"/>
      <c r="B790" s="4"/>
      <c r="C790" s="4"/>
      <c r="D790" s="6"/>
      <c r="E790" s="6"/>
    </row>
    <row r="791">
      <c r="A791" s="6"/>
      <c r="B791" s="4"/>
      <c r="C791" s="4"/>
      <c r="D791" s="6"/>
      <c r="E791" s="6"/>
    </row>
    <row r="792">
      <c r="A792" s="6"/>
      <c r="B792" s="4"/>
      <c r="C792" s="4"/>
      <c r="D792" s="6"/>
      <c r="E792" s="6"/>
    </row>
    <row r="793">
      <c r="A793" s="6"/>
      <c r="B793" s="4"/>
      <c r="C793" s="4"/>
      <c r="D793" s="6"/>
      <c r="E793" s="6"/>
    </row>
    <row r="794">
      <c r="A794" s="6"/>
      <c r="B794" s="4"/>
      <c r="C794" s="4"/>
      <c r="D794" s="6"/>
      <c r="E794" s="6"/>
    </row>
    <row r="795">
      <c r="A795" s="6"/>
      <c r="B795" s="4"/>
      <c r="C795" s="4"/>
      <c r="D795" s="6"/>
      <c r="E795" s="6"/>
    </row>
    <row r="796">
      <c r="A796" s="6"/>
      <c r="B796" s="4"/>
      <c r="C796" s="4"/>
      <c r="D796" s="6"/>
      <c r="E796" s="6"/>
    </row>
    <row r="797">
      <c r="A797" s="6"/>
      <c r="B797" s="4"/>
      <c r="C797" s="4"/>
      <c r="D797" s="6"/>
      <c r="E797" s="6"/>
    </row>
    <row r="798">
      <c r="A798" s="6"/>
      <c r="B798" s="4"/>
      <c r="C798" s="4"/>
      <c r="D798" s="6"/>
      <c r="E798" s="6"/>
    </row>
    <row r="799">
      <c r="A799" s="6"/>
      <c r="B799" s="4"/>
      <c r="C799" s="4"/>
      <c r="D799" s="6"/>
      <c r="E799" s="6"/>
    </row>
    <row r="800">
      <c r="A800" s="6"/>
      <c r="B800" s="4"/>
      <c r="C800" s="4"/>
      <c r="D800" s="6"/>
      <c r="E800" s="6"/>
    </row>
    <row r="801">
      <c r="A801" s="6"/>
      <c r="B801" s="4"/>
      <c r="C801" s="4"/>
      <c r="D801" s="6"/>
      <c r="E801" s="6"/>
    </row>
    <row r="802">
      <c r="A802" s="6"/>
      <c r="B802" s="4"/>
      <c r="C802" s="4"/>
      <c r="D802" s="6"/>
      <c r="E802" s="6"/>
    </row>
    <row r="803">
      <c r="A803" s="6"/>
      <c r="B803" s="4"/>
      <c r="C803" s="4"/>
      <c r="D803" s="6"/>
      <c r="E803" s="6"/>
    </row>
    <row r="804">
      <c r="A804" s="6"/>
      <c r="B804" s="4"/>
      <c r="C804" s="4"/>
      <c r="D804" s="6"/>
      <c r="E804" s="6"/>
    </row>
    <row r="805">
      <c r="A805" s="6"/>
      <c r="B805" s="4"/>
      <c r="C805" s="4"/>
      <c r="D805" s="6"/>
      <c r="E805" s="6"/>
    </row>
    <row r="806">
      <c r="A806" s="6"/>
      <c r="B806" s="4"/>
      <c r="C806" s="4"/>
      <c r="D806" s="6"/>
      <c r="E806" s="6"/>
    </row>
    <row r="807">
      <c r="A807" s="6"/>
      <c r="B807" s="4"/>
      <c r="C807" s="4"/>
      <c r="D807" s="6"/>
      <c r="E807" s="6"/>
    </row>
    <row r="808">
      <c r="A808" s="6"/>
      <c r="B808" s="4"/>
      <c r="C808" s="4"/>
      <c r="D808" s="6"/>
      <c r="E808" s="6"/>
    </row>
    <row r="809">
      <c r="A809" s="6"/>
      <c r="B809" s="4"/>
      <c r="C809" s="4"/>
      <c r="D809" s="6"/>
      <c r="E809" s="6"/>
    </row>
    <row r="810">
      <c r="A810" s="6"/>
      <c r="B810" s="4"/>
      <c r="C810" s="4"/>
      <c r="D810" s="6"/>
      <c r="E810" s="6"/>
    </row>
    <row r="811">
      <c r="A811" s="6"/>
      <c r="B811" s="4"/>
      <c r="C811" s="4"/>
      <c r="D811" s="6"/>
      <c r="E811" s="6"/>
    </row>
    <row r="812">
      <c r="A812" s="6"/>
      <c r="B812" s="4"/>
      <c r="C812" s="4"/>
      <c r="D812" s="6"/>
      <c r="E812" s="6"/>
    </row>
    <row r="813">
      <c r="A813" s="6"/>
      <c r="B813" s="4"/>
      <c r="C813" s="4"/>
      <c r="D813" s="6"/>
      <c r="E813" s="6"/>
    </row>
    <row r="814">
      <c r="A814" s="6"/>
      <c r="B814" s="4"/>
      <c r="C814" s="4"/>
      <c r="D814" s="6"/>
      <c r="E814" s="6"/>
    </row>
    <row r="815">
      <c r="A815" s="6"/>
      <c r="B815" s="4"/>
      <c r="C815" s="4"/>
      <c r="D815" s="6"/>
      <c r="E815" s="6"/>
    </row>
    <row r="816">
      <c r="A816" s="6"/>
      <c r="B816" s="4"/>
      <c r="C816" s="4"/>
      <c r="D816" s="6"/>
      <c r="E816" s="6"/>
    </row>
    <row r="817">
      <c r="A817" s="6"/>
      <c r="B817" s="4"/>
      <c r="C817" s="4"/>
      <c r="D817" s="6"/>
      <c r="E817" s="6"/>
    </row>
    <row r="818">
      <c r="A818" s="6"/>
      <c r="B818" s="4"/>
      <c r="C818" s="4"/>
      <c r="D818" s="6"/>
      <c r="E818" s="6"/>
    </row>
    <row r="819">
      <c r="A819" s="6"/>
      <c r="B819" s="4"/>
      <c r="C819" s="4"/>
      <c r="D819" s="6"/>
      <c r="E819" s="6"/>
    </row>
    <row r="820">
      <c r="A820" s="6"/>
      <c r="B820" s="4"/>
      <c r="C820" s="4"/>
      <c r="D820" s="6"/>
      <c r="E820" s="6"/>
    </row>
    <row r="821">
      <c r="A821" s="6"/>
      <c r="B821" s="4"/>
      <c r="C821" s="4"/>
      <c r="D821" s="6"/>
      <c r="E821" s="6"/>
    </row>
    <row r="822">
      <c r="A822" s="6"/>
      <c r="B822" s="4"/>
      <c r="C822" s="4"/>
      <c r="D822" s="6"/>
      <c r="E822" s="6"/>
    </row>
    <row r="823">
      <c r="A823" s="6"/>
      <c r="B823" s="4"/>
      <c r="C823" s="4"/>
      <c r="D823" s="6"/>
      <c r="E823" s="6"/>
    </row>
    <row r="824">
      <c r="A824" s="6"/>
      <c r="B824" s="4"/>
      <c r="C824" s="4"/>
      <c r="D824" s="6"/>
      <c r="E824" s="6"/>
    </row>
    <row r="825">
      <c r="A825" s="6"/>
      <c r="B825" s="4"/>
      <c r="C825" s="4"/>
      <c r="D825" s="6"/>
      <c r="E825" s="6"/>
    </row>
    <row r="826">
      <c r="A826" s="6"/>
      <c r="B826" s="4"/>
      <c r="C826" s="4"/>
      <c r="D826" s="6"/>
      <c r="E826" s="6"/>
    </row>
    <row r="827">
      <c r="A827" s="6"/>
      <c r="B827" s="4"/>
      <c r="C827" s="4"/>
      <c r="D827" s="6"/>
      <c r="E827" s="6"/>
    </row>
    <row r="828">
      <c r="A828" s="6"/>
      <c r="B828" s="4"/>
      <c r="C828" s="4"/>
      <c r="D828" s="6"/>
      <c r="E828" s="6"/>
    </row>
    <row r="829">
      <c r="A829" s="6"/>
      <c r="B829" s="4"/>
      <c r="C829" s="4"/>
      <c r="D829" s="6"/>
      <c r="E829" s="6"/>
    </row>
    <row r="830">
      <c r="A830" s="6"/>
      <c r="B830" s="4"/>
      <c r="C830" s="4"/>
      <c r="D830" s="6"/>
      <c r="E830" s="6"/>
    </row>
    <row r="831">
      <c r="A831" s="6"/>
      <c r="B831" s="4"/>
      <c r="C831" s="4"/>
      <c r="D831" s="6"/>
      <c r="E831" s="6"/>
    </row>
    <row r="832">
      <c r="A832" s="6"/>
      <c r="B832" s="4"/>
      <c r="C832" s="4"/>
      <c r="D832" s="6"/>
      <c r="E832" s="6"/>
    </row>
    <row r="833">
      <c r="A833" s="6"/>
      <c r="B833" s="4"/>
      <c r="C833" s="4"/>
      <c r="D833" s="6"/>
      <c r="E833" s="6"/>
    </row>
    <row r="834">
      <c r="A834" s="6"/>
      <c r="B834" s="4"/>
      <c r="C834" s="4"/>
      <c r="D834" s="6"/>
      <c r="E834" s="6"/>
    </row>
    <row r="835">
      <c r="A835" s="6"/>
      <c r="B835" s="4"/>
      <c r="C835" s="4"/>
      <c r="D835" s="6"/>
      <c r="E835" s="6"/>
    </row>
    <row r="836">
      <c r="A836" s="6"/>
      <c r="B836" s="4"/>
      <c r="C836" s="4"/>
      <c r="D836" s="6"/>
      <c r="E836" s="6"/>
    </row>
    <row r="837">
      <c r="A837" s="6"/>
      <c r="B837" s="4"/>
      <c r="C837" s="4"/>
      <c r="D837" s="6"/>
      <c r="E837" s="6"/>
    </row>
    <row r="838">
      <c r="A838" s="6"/>
      <c r="B838" s="4"/>
      <c r="C838" s="4"/>
      <c r="D838" s="6"/>
      <c r="E838" s="6"/>
    </row>
    <row r="839">
      <c r="A839" s="6"/>
      <c r="B839" s="4"/>
      <c r="C839" s="4"/>
      <c r="D839" s="6"/>
      <c r="E839" s="6"/>
    </row>
    <row r="840">
      <c r="A840" s="6"/>
      <c r="B840" s="4"/>
      <c r="C840" s="4"/>
      <c r="D840" s="6"/>
      <c r="E840" s="6"/>
    </row>
    <row r="841">
      <c r="A841" s="6"/>
      <c r="B841" s="4"/>
      <c r="C841" s="4"/>
      <c r="D841" s="6"/>
      <c r="E841" s="6"/>
    </row>
    <row r="842">
      <c r="A842" s="6"/>
      <c r="B842" s="4"/>
      <c r="C842" s="4"/>
      <c r="D842" s="6"/>
      <c r="E842" s="6"/>
    </row>
    <row r="843">
      <c r="A843" s="6"/>
      <c r="B843" s="4"/>
      <c r="C843" s="4"/>
      <c r="D843" s="6"/>
      <c r="E843" s="6"/>
    </row>
    <row r="844">
      <c r="A844" s="6"/>
      <c r="B844" s="4"/>
      <c r="C844" s="4"/>
      <c r="D844" s="6"/>
      <c r="E844" s="6"/>
    </row>
    <row r="845">
      <c r="A845" s="6"/>
      <c r="B845" s="4"/>
      <c r="C845" s="4"/>
      <c r="D845" s="6"/>
      <c r="E845" s="6"/>
    </row>
    <row r="846">
      <c r="A846" s="6"/>
      <c r="B846" s="4"/>
      <c r="C846" s="4"/>
      <c r="D846" s="6"/>
      <c r="E846" s="6"/>
    </row>
    <row r="847">
      <c r="A847" s="6"/>
      <c r="B847" s="4"/>
      <c r="C847" s="4"/>
      <c r="D847" s="6"/>
      <c r="E847" s="6"/>
    </row>
    <row r="848">
      <c r="A848" s="6"/>
      <c r="B848" s="4"/>
      <c r="C848" s="4"/>
      <c r="D848" s="6"/>
      <c r="E848" s="6"/>
    </row>
    <row r="849">
      <c r="A849" s="6"/>
      <c r="B849" s="4"/>
      <c r="C849" s="4"/>
      <c r="D849" s="6"/>
      <c r="E849" s="6"/>
    </row>
    <row r="850">
      <c r="A850" s="6"/>
      <c r="B850" s="4"/>
      <c r="C850" s="4"/>
      <c r="D850" s="6"/>
      <c r="E850" s="6"/>
    </row>
    <row r="851">
      <c r="A851" s="6"/>
      <c r="B851" s="4"/>
      <c r="C851" s="4"/>
      <c r="D851" s="6"/>
      <c r="E851" s="6"/>
    </row>
    <row r="852">
      <c r="A852" s="6"/>
      <c r="B852" s="4"/>
      <c r="C852" s="4"/>
      <c r="D852" s="6"/>
      <c r="E852" s="6"/>
    </row>
    <row r="853">
      <c r="A853" s="6"/>
      <c r="B853" s="4"/>
      <c r="C853" s="4"/>
      <c r="D853" s="6"/>
      <c r="E853" s="6"/>
    </row>
    <row r="854">
      <c r="A854" s="6"/>
      <c r="B854" s="4"/>
      <c r="C854" s="4"/>
      <c r="D854" s="6"/>
      <c r="E854" s="6"/>
    </row>
    <row r="855">
      <c r="A855" s="6"/>
      <c r="B855" s="4"/>
      <c r="C855" s="4"/>
      <c r="D855" s="6"/>
      <c r="E855" s="6"/>
    </row>
    <row r="856">
      <c r="A856" s="6"/>
      <c r="B856" s="4"/>
      <c r="C856" s="4"/>
      <c r="D856" s="6"/>
      <c r="E856" s="6"/>
    </row>
    <row r="857">
      <c r="A857" s="6"/>
      <c r="B857" s="4"/>
      <c r="C857" s="4"/>
      <c r="D857" s="6"/>
      <c r="E857" s="6"/>
    </row>
    <row r="858">
      <c r="A858" s="6"/>
      <c r="B858" s="4"/>
      <c r="C858" s="4"/>
      <c r="D858" s="6"/>
      <c r="E858" s="6"/>
    </row>
    <row r="859">
      <c r="A859" s="6"/>
      <c r="B859" s="4"/>
      <c r="C859" s="4"/>
      <c r="D859" s="6"/>
      <c r="E859" s="6"/>
    </row>
    <row r="860">
      <c r="A860" s="6"/>
      <c r="B860" s="4"/>
      <c r="C860" s="4"/>
      <c r="D860" s="6"/>
      <c r="E860" s="6"/>
    </row>
    <row r="861">
      <c r="A861" s="6"/>
      <c r="B861" s="4"/>
      <c r="C861" s="4"/>
      <c r="D861" s="6"/>
      <c r="E861" s="6"/>
    </row>
    <row r="862">
      <c r="A862" s="6"/>
      <c r="B862" s="4"/>
      <c r="C862" s="4"/>
      <c r="D862" s="6"/>
      <c r="E862" s="6"/>
    </row>
    <row r="863">
      <c r="A863" s="6"/>
      <c r="B863" s="4"/>
      <c r="C863" s="4"/>
      <c r="D863" s="6"/>
      <c r="E863" s="6"/>
    </row>
    <row r="864">
      <c r="A864" s="6"/>
      <c r="B864" s="4"/>
      <c r="C864" s="4"/>
      <c r="D864" s="6"/>
      <c r="E864" s="6"/>
    </row>
    <row r="865">
      <c r="A865" s="6"/>
      <c r="B865" s="4"/>
      <c r="C865" s="4"/>
      <c r="D865" s="6"/>
      <c r="E865" s="6"/>
    </row>
    <row r="866">
      <c r="A866" s="6"/>
      <c r="B866" s="4"/>
      <c r="C866" s="4"/>
      <c r="D866" s="6"/>
      <c r="E866" s="6"/>
    </row>
    <row r="867">
      <c r="A867" s="6"/>
      <c r="B867" s="4"/>
      <c r="C867" s="4"/>
      <c r="D867" s="6"/>
      <c r="E867" s="6"/>
    </row>
    <row r="868">
      <c r="A868" s="6"/>
      <c r="B868" s="4"/>
      <c r="C868" s="4"/>
      <c r="D868" s="6"/>
      <c r="E868" s="6"/>
    </row>
    <row r="869">
      <c r="A869" s="6"/>
      <c r="B869" s="4"/>
      <c r="C869" s="4"/>
      <c r="D869" s="6"/>
      <c r="E869" s="6"/>
    </row>
    <row r="870">
      <c r="A870" s="6"/>
      <c r="B870" s="4"/>
      <c r="C870" s="4"/>
      <c r="D870" s="6"/>
      <c r="E870" s="6"/>
    </row>
    <row r="871">
      <c r="A871" s="6"/>
      <c r="B871" s="4"/>
      <c r="C871" s="4"/>
      <c r="D871" s="6"/>
      <c r="E871" s="6"/>
    </row>
    <row r="872">
      <c r="A872" s="6"/>
      <c r="B872" s="4"/>
      <c r="C872" s="4"/>
      <c r="D872" s="6"/>
      <c r="E872" s="6"/>
    </row>
    <row r="873">
      <c r="A873" s="6"/>
      <c r="B873" s="4"/>
      <c r="C873" s="4"/>
      <c r="D873" s="6"/>
      <c r="E873" s="6"/>
    </row>
    <row r="874">
      <c r="A874" s="6"/>
      <c r="B874" s="4"/>
      <c r="C874" s="4"/>
      <c r="D874" s="6"/>
      <c r="E874" s="6"/>
    </row>
    <row r="875">
      <c r="A875" s="6"/>
      <c r="B875" s="4"/>
      <c r="C875" s="4"/>
      <c r="D875" s="6"/>
      <c r="E875" s="6"/>
    </row>
    <row r="876">
      <c r="A876" s="6"/>
      <c r="B876" s="4"/>
      <c r="C876" s="4"/>
      <c r="D876" s="6"/>
      <c r="E876" s="6"/>
    </row>
    <row r="877">
      <c r="A877" s="6"/>
      <c r="B877" s="4"/>
      <c r="C877" s="4"/>
      <c r="D877" s="6"/>
      <c r="E877" s="6"/>
    </row>
    <row r="878">
      <c r="A878" s="6"/>
      <c r="B878" s="4"/>
      <c r="C878" s="4"/>
      <c r="D878" s="6"/>
      <c r="E878" s="6"/>
    </row>
    <row r="879">
      <c r="A879" s="6"/>
      <c r="B879" s="4"/>
      <c r="C879" s="4"/>
      <c r="D879" s="6"/>
      <c r="E879" s="6"/>
    </row>
    <row r="880">
      <c r="A880" s="6"/>
      <c r="B880" s="4"/>
      <c r="C880" s="4"/>
      <c r="D880" s="6"/>
      <c r="E880" s="6"/>
    </row>
    <row r="881">
      <c r="A881" s="6"/>
      <c r="B881" s="4"/>
      <c r="C881" s="4"/>
      <c r="D881" s="6"/>
      <c r="E881" s="6"/>
    </row>
    <row r="882">
      <c r="A882" s="6"/>
      <c r="B882" s="4"/>
      <c r="C882" s="4"/>
      <c r="D882" s="6"/>
      <c r="E882" s="6"/>
    </row>
    <row r="883">
      <c r="A883" s="6"/>
      <c r="B883" s="4"/>
      <c r="C883" s="4"/>
      <c r="D883" s="6"/>
      <c r="E883" s="6"/>
    </row>
    <row r="884">
      <c r="A884" s="6"/>
      <c r="B884" s="4"/>
      <c r="C884" s="4"/>
      <c r="D884" s="6"/>
      <c r="E884" s="6"/>
    </row>
    <row r="885">
      <c r="A885" s="6"/>
      <c r="B885" s="4"/>
      <c r="C885" s="4"/>
      <c r="D885" s="6"/>
      <c r="E885" s="6"/>
    </row>
    <row r="886">
      <c r="A886" s="6"/>
      <c r="B886" s="4"/>
      <c r="C886" s="4"/>
      <c r="D886" s="6"/>
      <c r="E886" s="6"/>
    </row>
    <row r="887">
      <c r="A887" s="6"/>
      <c r="B887" s="4"/>
      <c r="C887" s="4"/>
      <c r="D887" s="6"/>
      <c r="E887" s="6"/>
    </row>
    <row r="888">
      <c r="A888" s="6"/>
      <c r="B888" s="4"/>
      <c r="C888" s="4"/>
      <c r="D888" s="6"/>
      <c r="E888" s="6"/>
    </row>
    <row r="889">
      <c r="A889" s="6"/>
      <c r="B889" s="4"/>
      <c r="C889" s="4"/>
      <c r="D889" s="6"/>
      <c r="E889" s="6"/>
    </row>
    <row r="890">
      <c r="A890" s="6"/>
      <c r="B890" s="4"/>
      <c r="C890" s="4"/>
      <c r="D890" s="6"/>
      <c r="E890" s="6"/>
    </row>
    <row r="891">
      <c r="A891" s="6"/>
      <c r="B891" s="4"/>
      <c r="C891" s="4"/>
      <c r="D891" s="6"/>
      <c r="E891" s="6"/>
    </row>
    <row r="892">
      <c r="A892" s="6"/>
      <c r="B892" s="4"/>
      <c r="C892" s="4"/>
      <c r="D892" s="6"/>
      <c r="E892" s="6"/>
    </row>
    <row r="893">
      <c r="A893" s="6"/>
      <c r="B893" s="4"/>
      <c r="C893" s="4"/>
      <c r="D893" s="6"/>
      <c r="E893" s="6"/>
    </row>
    <row r="894">
      <c r="A894" s="6"/>
      <c r="B894" s="4"/>
      <c r="C894" s="4"/>
      <c r="D894" s="6"/>
      <c r="E894" s="6"/>
    </row>
    <row r="895">
      <c r="A895" s="6"/>
      <c r="B895" s="4"/>
      <c r="C895" s="4"/>
      <c r="D895" s="6"/>
      <c r="E895" s="6"/>
    </row>
    <row r="896">
      <c r="A896" s="6"/>
      <c r="B896" s="4"/>
      <c r="C896" s="4"/>
      <c r="D896" s="6"/>
      <c r="E896" s="6"/>
    </row>
    <row r="897">
      <c r="A897" s="6"/>
      <c r="B897" s="4"/>
      <c r="C897" s="4"/>
      <c r="D897" s="6"/>
      <c r="E897" s="6"/>
    </row>
    <row r="898">
      <c r="A898" s="6"/>
      <c r="B898" s="4"/>
      <c r="C898" s="4"/>
      <c r="D898" s="6"/>
      <c r="E898" s="6"/>
    </row>
    <row r="899">
      <c r="A899" s="6"/>
      <c r="B899" s="4"/>
      <c r="C899" s="4"/>
      <c r="D899" s="6"/>
      <c r="E899" s="6"/>
    </row>
    <row r="900">
      <c r="A900" s="6"/>
      <c r="B900" s="4"/>
      <c r="C900" s="4"/>
      <c r="D900" s="6"/>
      <c r="E900" s="6"/>
    </row>
    <row r="901">
      <c r="A901" s="6"/>
      <c r="B901" s="4"/>
      <c r="C901" s="4"/>
      <c r="D901" s="6"/>
      <c r="E901" s="6"/>
    </row>
    <row r="902">
      <c r="A902" s="6"/>
      <c r="B902" s="4"/>
      <c r="C902" s="4"/>
      <c r="D902" s="6"/>
      <c r="E902" s="6"/>
    </row>
    <row r="903">
      <c r="A903" s="6"/>
      <c r="B903" s="4"/>
      <c r="C903" s="4"/>
      <c r="D903" s="6"/>
      <c r="E903" s="6"/>
    </row>
    <row r="904">
      <c r="A904" s="6"/>
      <c r="B904" s="4"/>
      <c r="C904" s="4"/>
      <c r="D904" s="6"/>
      <c r="E904" s="6"/>
    </row>
    <row r="905">
      <c r="A905" s="6"/>
      <c r="B905" s="4"/>
      <c r="C905" s="4"/>
      <c r="D905" s="6"/>
      <c r="E905" s="6"/>
    </row>
    <row r="906">
      <c r="A906" s="6"/>
      <c r="B906" s="4"/>
      <c r="C906" s="4"/>
      <c r="D906" s="6"/>
      <c r="E906" s="6"/>
    </row>
    <row r="907">
      <c r="A907" s="6"/>
      <c r="B907" s="4"/>
      <c r="C907" s="4"/>
      <c r="D907" s="6"/>
      <c r="E907" s="6"/>
    </row>
    <row r="908">
      <c r="A908" s="6"/>
      <c r="B908" s="4"/>
      <c r="C908" s="4"/>
      <c r="D908" s="6"/>
      <c r="E908" s="6"/>
    </row>
    <row r="909">
      <c r="A909" s="6"/>
      <c r="B909" s="4"/>
      <c r="C909" s="4"/>
      <c r="D909" s="6"/>
      <c r="E909" s="6"/>
    </row>
    <row r="910">
      <c r="A910" s="6"/>
      <c r="B910" s="4"/>
      <c r="C910" s="4"/>
      <c r="D910" s="6"/>
      <c r="E910" s="6"/>
    </row>
    <row r="911">
      <c r="A911" s="6"/>
      <c r="B911" s="4"/>
      <c r="C911" s="4"/>
      <c r="D911" s="6"/>
      <c r="E911" s="6"/>
    </row>
    <row r="912">
      <c r="A912" s="6"/>
      <c r="B912" s="4"/>
      <c r="C912" s="4"/>
      <c r="D912" s="6"/>
      <c r="E912" s="6"/>
    </row>
    <row r="913">
      <c r="A913" s="6"/>
      <c r="B913" s="4"/>
      <c r="C913" s="4"/>
      <c r="D913" s="6"/>
      <c r="E913" s="6"/>
    </row>
    <row r="914">
      <c r="A914" s="6"/>
      <c r="B914" s="4"/>
      <c r="C914" s="4"/>
      <c r="D914" s="6"/>
      <c r="E914" s="6"/>
    </row>
    <row r="915">
      <c r="A915" s="6"/>
      <c r="B915" s="4"/>
      <c r="C915" s="4"/>
      <c r="D915" s="6"/>
      <c r="E915" s="6"/>
    </row>
    <row r="916">
      <c r="A916" s="6"/>
      <c r="B916" s="4"/>
      <c r="C916" s="4"/>
      <c r="D916" s="6"/>
      <c r="E916" s="6"/>
    </row>
    <row r="917">
      <c r="A917" s="6"/>
      <c r="B917" s="4"/>
      <c r="C917" s="4"/>
      <c r="D917" s="6"/>
      <c r="E917" s="6"/>
    </row>
    <row r="918">
      <c r="A918" s="6"/>
      <c r="B918" s="4"/>
      <c r="C918" s="4"/>
      <c r="D918" s="6"/>
      <c r="E918" s="6"/>
    </row>
    <row r="919">
      <c r="A919" s="6"/>
      <c r="B919" s="4"/>
      <c r="C919" s="4"/>
      <c r="D919" s="6"/>
      <c r="E919" s="6"/>
    </row>
    <row r="920">
      <c r="A920" s="6"/>
      <c r="B920" s="4"/>
      <c r="C920" s="4"/>
      <c r="D920" s="6"/>
      <c r="E920" s="6"/>
    </row>
    <row r="921">
      <c r="A921" s="6"/>
      <c r="B921" s="4"/>
      <c r="C921" s="4"/>
      <c r="D921" s="6"/>
      <c r="E921" s="6"/>
    </row>
    <row r="922">
      <c r="A922" s="6"/>
      <c r="B922" s="4"/>
      <c r="C922" s="4"/>
      <c r="D922" s="6"/>
      <c r="E922" s="6"/>
    </row>
    <row r="923">
      <c r="A923" s="6"/>
      <c r="B923" s="4"/>
      <c r="C923" s="4"/>
      <c r="D923" s="6"/>
      <c r="E923" s="6"/>
    </row>
    <row r="924">
      <c r="A924" s="6"/>
      <c r="B924" s="4"/>
      <c r="C924" s="4"/>
      <c r="D924" s="6"/>
      <c r="E924" s="6"/>
    </row>
    <row r="925">
      <c r="A925" s="6"/>
      <c r="B925" s="4"/>
      <c r="C925" s="4"/>
      <c r="D925" s="6"/>
      <c r="E925" s="6"/>
    </row>
    <row r="926">
      <c r="A926" s="6"/>
      <c r="B926" s="4"/>
      <c r="C926" s="4"/>
      <c r="D926" s="6"/>
      <c r="E926" s="6"/>
    </row>
    <row r="927">
      <c r="A927" s="6"/>
      <c r="B927" s="4"/>
      <c r="C927" s="4"/>
      <c r="D927" s="6"/>
      <c r="E927" s="6"/>
    </row>
    <row r="928">
      <c r="A928" s="6"/>
      <c r="B928" s="4"/>
      <c r="C928" s="4"/>
      <c r="D928" s="6"/>
      <c r="E928" s="6"/>
    </row>
    <row r="929">
      <c r="A929" s="6"/>
      <c r="B929" s="4"/>
      <c r="C929" s="4"/>
      <c r="D929" s="6"/>
      <c r="E929" s="6"/>
    </row>
    <row r="930">
      <c r="A930" s="6"/>
      <c r="B930" s="4"/>
      <c r="C930" s="4"/>
      <c r="D930" s="6"/>
      <c r="E930" s="6"/>
    </row>
    <row r="931">
      <c r="A931" s="6"/>
      <c r="B931" s="4"/>
      <c r="C931" s="4"/>
      <c r="D931" s="6"/>
      <c r="E931" s="6"/>
    </row>
    <row r="932">
      <c r="A932" s="6"/>
      <c r="B932" s="4"/>
      <c r="C932" s="4"/>
      <c r="D932" s="6"/>
      <c r="E932" s="6"/>
    </row>
    <row r="933">
      <c r="A933" s="6"/>
      <c r="B933" s="4"/>
      <c r="C933" s="4"/>
      <c r="D933" s="6"/>
      <c r="E933" s="6"/>
    </row>
    <row r="934">
      <c r="A934" s="6"/>
      <c r="B934" s="4"/>
      <c r="C934" s="4"/>
      <c r="D934" s="6"/>
      <c r="E934" s="6"/>
    </row>
    <row r="935">
      <c r="A935" s="6"/>
      <c r="B935" s="4"/>
      <c r="C935" s="4"/>
      <c r="D935" s="6"/>
      <c r="E935" s="6"/>
    </row>
    <row r="936">
      <c r="A936" s="6"/>
      <c r="B936" s="4"/>
      <c r="C936" s="4"/>
      <c r="D936" s="6"/>
      <c r="E936" s="6"/>
    </row>
    <row r="937">
      <c r="A937" s="6"/>
      <c r="B937" s="4"/>
      <c r="C937" s="4"/>
      <c r="D937" s="6"/>
      <c r="E937" s="6"/>
    </row>
    <row r="938">
      <c r="A938" s="6"/>
      <c r="B938" s="4"/>
      <c r="C938" s="4"/>
      <c r="D938" s="6"/>
      <c r="E938" s="6"/>
    </row>
    <row r="939">
      <c r="A939" s="6"/>
      <c r="B939" s="4"/>
      <c r="C939" s="4"/>
      <c r="D939" s="6"/>
      <c r="E939" s="6"/>
    </row>
    <row r="940">
      <c r="A940" s="6"/>
      <c r="B940" s="4"/>
      <c r="C940" s="4"/>
      <c r="D940" s="6"/>
      <c r="E940" s="6"/>
    </row>
    <row r="941">
      <c r="A941" s="6"/>
      <c r="B941" s="4"/>
      <c r="C941" s="4"/>
      <c r="D941" s="6"/>
      <c r="E941" s="6"/>
    </row>
    <row r="942">
      <c r="A942" s="6"/>
      <c r="B942" s="4"/>
      <c r="C942" s="4"/>
      <c r="D942" s="6"/>
      <c r="E942" s="6"/>
    </row>
    <row r="943">
      <c r="A943" s="6"/>
      <c r="B943" s="4"/>
      <c r="C943" s="4"/>
      <c r="D943" s="6"/>
      <c r="E943" s="6"/>
    </row>
    <row r="944">
      <c r="A944" s="6"/>
      <c r="B944" s="4"/>
      <c r="C944" s="4"/>
      <c r="D944" s="6"/>
      <c r="E944" s="6"/>
    </row>
    <row r="945">
      <c r="A945" s="6"/>
      <c r="B945" s="4"/>
      <c r="C945" s="4"/>
      <c r="D945" s="6"/>
      <c r="E945" s="6"/>
    </row>
    <row r="946">
      <c r="A946" s="6"/>
      <c r="B946" s="4"/>
      <c r="C946" s="4"/>
      <c r="D946" s="6"/>
      <c r="E946" s="6"/>
    </row>
    <row r="947">
      <c r="A947" s="6"/>
      <c r="B947" s="4"/>
      <c r="C947" s="4"/>
      <c r="D947" s="6"/>
      <c r="E947" s="6"/>
    </row>
    <row r="948">
      <c r="A948" s="6"/>
      <c r="B948" s="4"/>
      <c r="C948" s="4"/>
      <c r="D948" s="6"/>
      <c r="E948" s="6"/>
    </row>
    <row r="949">
      <c r="A949" s="6"/>
      <c r="B949" s="4"/>
      <c r="C949" s="4"/>
      <c r="D949" s="6"/>
      <c r="E949" s="6"/>
    </row>
    <row r="950">
      <c r="A950" s="6"/>
      <c r="B950" s="4"/>
      <c r="C950" s="4"/>
      <c r="D950" s="6"/>
      <c r="E950" s="6"/>
    </row>
    <row r="951">
      <c r="A951" s="6"/>
      <c r="B951" s="4"/>
      <c r="C951" s="4"/>
      <c r="D951" s="6"/>
      <c r="E951" s="6"/>
    </row>
    <row r="952">
      <c r="A952" s="6"/>
      <c r="B952" s="4"/>
      <c r="C952" s="4"/>
      <c r="D952" s="6"/>
      <c r="E952" s="6"/>
    </row>
    <row r="953">
      <c r="A953" s="6"/>
      <c r="B953" s="4"/>
      <c r="C953" s="4"/>
      <c r="D953" s="6"/>
      <c r="E953" s="6"/>
    </row>
    <row r="954">
      <c r="A954" s="6"/>
      <c r="B954" s="4"/>
      <c r="C954" s="4"/>
      <c r="D954" s="6"/>
      <c r="E954" s="6"/>
    </row>
    <row r="955">
      <c r="A955" s="6"/>
      <c r="B955" s="4"/>
      <c r="C955" s="4"/>
      <c r="D955" s="6"/>
      <c r="E955" s="6"/>
    </row>
    <row r="956">
      <c r="A956" s="6"/>
      <c r="B956" s="4"/>
      <c r="C956" s="4"/>
      <c r="D956" s="6"/>
      <c r="E956" s="6"/>
    </row>
    <row r="957">
      <c r="A957" s="6"/>
      <c r="B957" s="4"/>
      <c r="C957" s="4"/>
      <c r="D957" s="6"/>
      <c r="E957" s="6"/>
    </row>
    <row r="958">
      <c r="A958" s="6"/>
      <c r="B958" s="4"/>
      <c r="C958" s="4"/>
      <c r="D958" s="6"/>
      <c r="E958" s="6"/>
    </row>
    <row r="959">
      <c r="A959" s="6"/>
      <c r="B959" s="4"/>
      <c r="C959" s="4"/>
      <c r="D959" s="6"/>
      <c r="E959" s="6"/>
    </row>
    <row r="960">
      <c r="A960" s="6"/>
      <c r="B960" s="4"/>
      <c r="C960" s="4"/>
      <c r="D960" s="6"/>
      <c r="E960" s="6"/>
    </row>
    <row r="961">
      <c r="A961" s="6"/>
      <c r="B961" s="4"/>
      <c r="C961" s="4"/>
      <c r="D961" s="6"/>
      <c r="E961" s="6"/>
    </row>
    <row r="962">
      <c r="A962" s="6"/>
      <c r="B962" s="4"/>
      <c r="C962" s="4"/>
      <c r="D962" s="6"/>
      <c r="E962" s="6"/>
    </row>
    <row r="963">
      <c r="A963" s="6"/>
      <c r="B963" s="4"/>
      <c r="C963" s="4"/>
      <c r="D963" s="6"/>
      <c r="E963" s="6"/>
    </row>
    <row r="964">
      <c r="A964" s="6"/>
      <c r="B964" s="4"/>
      <c r="C964" s="4"/>
      <c r="D964" s="6"/>
      <c r="E964" s="6"/>
    </row>
    <row r="965">
      <c r="A965" s="6"/>
      <c r="B965" s="4"/>
      <c r="C965" s="4"/>
      <c r="D965" s="6"/>
      <c r="E965" s="6"/>
    </row>
    <row r="966">
      <c r="A966" s="6"/>
      <c r="B966" s="4"/>
      <c r="C966" s="4"/>
      <c r="D966" s="6"/>
      <c r="E966" s="6"/>
    </row>
    <row r="967">
      <c r="A967" s="6"/>
      <c r="B967" s="4"/>
      <c r="C967" s="4"/>
      <c r="D967" s="6"/>
      <c r="E967" s="6"/>
    </row>
    <row r="968">
      <c r="A968" s="6"/>
      <c r="B968" s="4"/>
      <c r="C968" s="4"/>
      <c r="D968" s="6"/>
      <c r="E968" s="6"/>
    </row>
    <row r="969">
      <c r="A969" s="6"/>
      <c r="B969" s="4"/>
      <c r="C969" s="4"/>
      <c r="D969" s="6"/>
      <c r="E969" s="6"/>
    </row>
    <row r="970">
      <c r="A970" s="6"/>
      <c r="B970" s="4"/>
      <c r="C970" s="4"/>
      <c r="D970" s="6"/>
      <c r="E970" s="6"/>
    </row>
    <row r="971">
      <c r="A971" s="6"/>
      <c r="B971" s="4"/>
      <c r="C971" s="4"/>
      <c r="D971" s="6"/>
      <c r="E971" s="6"/>
    </row>
    <row r="972">
      <c r="A972" s="6"/>
      <c r="B972" s="4"/>
      <c r="C972" s="4"/>
      <c r="D972" s="6"/>
      <c r="E972" s="6"/>
    </row>
    <row r="973">
      <c r="A973" s="6"/>
      <c r="B973" s="4"/>
      <c r="C973" s="4"/>
      <c r="D973" s="6"/>
      <c r="E973" s="6"/>
    </row>
    <row r="974">
      <c r="A974" s="6"/>
      <c r="B974" s="4"/>
      <c r="C974" s="4"/>
      <c r="D974" s="6"/>
      <c r="E974" s="6"/>
    </row>
    <row r="975">
      <c r="A975" s="6"/>
      <c r="B975" s="4"/>
      <c r="C975" s="4"/>
      <c r="D975" s="6"/>
      <c r="E975" s="6"/>
    </row>
    <row r="976">
      <c r="A976" s="6"/>
      <c r="B976" s="4"/>
      <c r="C976" s="4"/>
      <c r="D976" s="6"/>
      <c r="E976" s="6"/>
    </row>
    <row r="977">
      <c r="A977" s="6"/>
      <c r="B977" s="4"/>
      <c r="C977" s="4"/>
      <c r="D977" s="6"/>
      <c r="E977" s="6"/>
    </row>
    <row r="978">
      <c r="A978" s="6"/>
      <c r="B978" s="4"/>
      <c r="C978" s="4"/>
      <c r="D978" s="6"/>
      <c r="E978" s="6"/>
    </row>
    <row r="979">
      <c r="A979" s="6"/>
      <c r="B979" s="4"/>
      <c r="C979" s="4"/>
      <c r="D979" s="6"/>
      <c r="E979" s="6"/>
    </row>
    <row r="980">
      <c r="A980" s="6"/>
      <c r="B980" s="4"/>
      <c r="C980" s="4"/>
      <c r="D980" s="6"/>
      <c r="E980" s="6"/>
    </row>
    <row r="981">
      <c r="A981" s="6"/>
      <c r="B981" s="4"/>
      <c r="C981" s="4"/>
      <c r="D981" s="6"/>
      <c r="E981" s="6"/>
    </row>
    <row r="982">
      <c r="A982" s="6"/>
      <c r="B982" s="4"/>
      <c r="C982" s="4"/>
      <c r="D982" s="6"/>
      <c r="E982" s="6"/>
    </row>
    <row r="983">
      <c r="A983" s="6"/>
      <c r="B983" s="4"/>
      <c r="C983" s="4"/>
      <c r="D983" s="6"/>
      <c r="E983" s="6"/>
    </row>
    <row r="984">
      <c r="A984" s="6"/>
      <c r="B984" s="4"/>
      <c r="C984" s="4"/>
      <c r="D984" s="6"/>
      <c r="E984" s="6"/>
    </row>
    <row r="985">
      <c r="A985" s="6"/>
      <c r="B985" s="4"/>
      <c r="C985" s="4"/>
      <c r="D985" s="6"/>
      <c r="E985" s="6"/>
    </row>
    <row r="986">
      <c r="A986" s="6"/>
      <c r="B986" s="4"/>
      <c r="C986" s="4"/>
      <c r="D986" s="6"/>
      <c r="E986" s="6"/>
    </row>
    <row r="987">
      <c r="A987" s="6"/>
      <c r="B987" s="4"/>
      <c r="C987" s="4"/>
      <c r="D987" s="6"/>
      <c r="E987" s="6"/>
    </row>
    <row r="988">
      <c r="A988" s="6"/>
      <c r="B988" s="4"/>
      <c r="C988" s="4"/>
      <c r="D988" s="6"/>
      <c r="E988" s="6"/>
    </row>
    <row r="989">
      <c r="A989" s="6"/>
      <c r="B989" s="4"/>
      <c r="C989" s="4"/>
      <c r="D989" s="6"/>
      <c r="E989" s="6"/>
    </row>
    <row r="990">
      <c r="A990" s="6"/>
      <c r="B990" s="4"/>
      <c r="C990" s="4"/>
      <c r="D990" s="6"/>
      <c r="E990" s="6"/>
    </row>
    <row r="991">
      <c r="A991" s="6"/>
      <c r="B991" s="4"/>
      <c r="C991" s="4"/>
      <c r="D991" s="6"/>
      <c r="E991" s="6"/>
    </row>
    <row r="992">
      <c r="A992" s="6"/>
      <c r="B992" s="4"/>
      <c r="C992" s="4"/>
      <c r="D992" s="6"/>
      <c r="E992" s="6"/>
    </row>
    <row r="993">
      <c r="A993" s="6"/>
      <c r="B993" s="4"/>
      <c r="C993" s="4"/>
      <c r="D993" s="6"/>
      <c r="E993" s="6"/>
    </row>
    <row r="994">
      <c r="A994" s="6"/>
      <c r="B994" s="4"/>
      <c r="C994" s="4"/>
      <c r="D994" s="6"/>
      <c r="E994" s="6"/>
    </row>
    <row r="995">
      <c r="A995" s="6"/>
      <c r="B995" s="4"/>
      <c r="C995" s="4"/>
      <c r="D995" s="6"/>
      <c r="E995" s="6"/>
    </row>
    <row r="996">
      <c r="A996" s="6"/>
      <c r="B996" s="4"/>
      <c r="C996" s="4"/>
      <c r="D996" s="6"/>
      <c r="E996" s="6"/>
    </row>
    <row r="997">
      <c r="A997" s="6"/>
      <c r="B997" s="4"/>
      <c r="C997" s="4"/>
      <c r="D997" s="6"/>
      <c r="E997" s="6"/>
    </row>
    <row r="998">
      <c r="A998" s="6"/>
      <c r="B998" s="4"/>
      <c r="C998" s="4"/>
      <c r="D998" s="6"/>
      <c r="E998" s="6"/>
    </row>
    <row r="999">
      <c r="A999" s="6"/>
      <c r="B999" s="4"/>
      <c r="C999" s="4"/>
      <c r="D999" s="6"/>
      <c r="E999" s="6"/>
    </row>
    <row r="1000">
      <c r="A1000" s="6"/>
      <c r="B1000" s="4"/>
      <c r="C1000" s="4"/>
      <c r="D1000" s="6"/>
      <c r="E1000" s="6"/>
    </row>
    <row r="1001">
      <c r="A1001" s="6"/>
      <c r="B1001" s="4"/>
      <c r="C1001" s="4"/>
      <c r="D1001" s="6"/>
      <c r="E1001" s="6"/>
    </row>
    <row r="1002">
      <c r="A1002" s="6"/>
      <c r="B1002" s="4"/>
      <c r="C1002" s="4"/>
      <c r="D1002" s="6"/>
      <c r="E1002" s="6"/>
    </row>
    <row r="1003">
      <c r="A1003" s="6"/>
      <c r="B1003" s="4"/>
      <c r="C1003" s="4"/>
      <c r="D1003" s="6"/>
      <c r="E1003" s="6"/>
    </row>
    <row r="1004">
      <c r="A1004" s="6"/>
      <c r="B1004" s="4"/>
      <c r="C1004" s="4"/>
      <c r="D1004" s="6"/>
      <c r="E1004" s="6"/>
    </row>
    <row r="1005">
      <c r="A1005" s="6"/>
      <c r="B1005" s="4"/>
      <c r="C1005" s="4"/>
      <c r="D1005" s="6"/>
      <c r="E1005" s="6"/>
    </row>
  </sheetData>
  <hyperlinks>
    <hyperlink r:id="rId1" ref="D2"/>
    <hyperlink r:id="rId2" location="gid=216810635" ref="E2"/>
    <hyperlink r:id="rId3" ref="D3"/>
    <hyperlink r:id="rId4" location="gid=587627450" ref="E3"/>
    <hyperlink r:id="rId5" ref="D4"/>
    <hyperlink r:id="rId6" location="gid=920214479" ref="E4"/>
    <hyperlink r:id="rId7" ref="D5"/>
    <hyperlink r:id="rId8" location="gid=473902950" ref="E5"/>
    <hyperlink r:id="rId9" ref="D6"/>
    <hyperlink r:id="rId10" ref="D7"/>
    <hyperlink r:id="rId11" location="gid=587627450" ref="E7"/>
    <hyperlink r:id="rId12" ref="D8"/>
    <hyperlink r:id="rId13" location="gid=1465701059" ref="E8"/>
    <hyperlink r:id="rId14" ref="D9"/>
    <hyperlink r:id="rId15" location="gid=1934777563" ref="E9"/>
    <hyperlink r:id="rId16" ref="D10"/>
    <hyperlink r:id="rId17" location="gid=2111274590" ref="E10"/>
    <hyperlink r:id="rId18" ref="D11"/>
    <hyperlink r:id="rId19" location="gid=682850784" ref="E11"/>
    <hyperlink r:id="rId20" ref="D12"/>
    <hyperlink r:id="rId21" location="gid=1966593741" ref="E12"/>
    <hyperlink r:id="rId22" ref="D13"/>
    <hyperlink r:id="rId23" location="gid=1578743091" ref="E13"/>
    <hyperlink r:id="rId24" ref="D14"/>
    <hyperlink r:id="rId25" location="gid=632532682" ref="E14"/>
    <hyperlink r:id="rId26" ref="D15"/>
    <hyperlink r:id="rId27" location="gid=1900933787" ref="E15"/>
    <hyperlink r:id="rId28" ref="D16"/>
    <hyperlink r:id="rId29" ref="D17"/>
    <hyperlink r:id="rId30" location="gid=0" ref="E17"/>
    <hyperlink r:id="rId31" ref="D18"/>
    <hyperlink r:id="rId32" location="gid=733875729" ref="E18"/>
    <hyperlink r:id="rId33" ref="D19"/>
    <hyperlink r:id="rId34" location="gid=605400112" ref="E19"/>
    <hyperlink r:id="rId35" ref="D20"/>
    <hyperlink r:id="rId36" location="gid=1696627669" ref="E20"/>
    <hyperlink r:id="rId37" ref="D21"/>
    <hyperlink r:id="rId38" ref="D22"/>
    <hyperlink r:id="rId39" location="gid=674384504" ref="E22"/>
    <hyperlink r:id="rId40" ref="D23"/>
    <hyperlink r:id="rId41" location="gid=1564422559" ref="E23"/>
    <hyperlink r:id="rId42" ref="D24"/>
    <hyperlink r:id="rId43" location="gid=2001386978" ref="E24"/>
    <hyperlink r:id="rId44" ref="D25"/>
    <hyperlink r:id="rId45" location="gid=1200275695" ref="E25"/>
    <hyperlink r:id="rId46" ref="D26"/>
    <hyperlink r:id="rId47" location="gid=1321403812" ref="E26"/>
    <hyperlink r:id="rId48" ref="D27"/>
    <hyperlink r:id="rId49" location="gid=1908167878" ref="E27"/>
    <hyperlink r:id="rId50" ref="D28"/>
    <hyperlink r:id="rId51" location="gid=1895801076" ref="E28"/>
    <hyperlink r:id="rId52" ref="D29"/>
    <hyperlink r:id="rId53" location="gid=328297528" ref="E29"/>
    <hyperlink r:id="rId54" ref="D30"/>
    <hyperlink r:id="rId55" location="gid=1585910355" ref="E30"/>
    <hyperlink r:id="rId56" ref="D31"/>
    <hyperlink r:id="rId57" location="gid=1469754041" ref="E31"/>
    <hyperlink r:id="rId58" ref="D32"/>
    <hyperlink r:id="rId59" location="gid=791782433" ref="E32"/>
    <hyperlink r:id="rId60" ref="D33"/>
    <hyperlink r:id="rId61" location="gid=1901945827" ref="E33"/>
    <hyperlink r:id="rId62" ref="D34"/>
    <hyperlink r:id="rId63" ref="D35"/>
    <hyperlink r:id="rId64" location="gid=1503639990" ref="E35"/>
    <hyperlink r:id="rId65" ref="D36"/>
    <hyperlink r:id="rId66" location="gid=71831689" ref="E36"/>
    <hyperlink r:id="rId67" ref="D37"/>
    <hyperlink r:id="rId68" location="gid=676632067" ref="E37"/>
    <hyperlink r:id="rId69" ref="D38"/>
    <hyperlink r:id="rId70" location="gid=833595606" ref="E38"/>
    <hyperlink r:id="rId71" ref="D39"/>
    <hyperlink r:id="rId72" ref="D40"/>
    <hyperlink r:id="rId73" ref="D41"/>
    <hyperlink r:id="rId74" location="gid=1629916641" ref="E41"/>
    <hyperlink r:id="rId75" ref="D42"/>
    <hyperlink r:id="rId76" location="gid=872669468" ref="E42"/>
    <hyperlink r:id="rId77" ref="D43"/>
    <hyperlink r:id="rId78" location="gid=207710828" ref="E43"/>
    <hyperlink r:id="rId79" ref="D44"/>
    <hyperlink r:id="rId80" location="gid=773012012" ref="E44"/>
    <hyperlink r:id="rId81" ref="D45"/>
    <hyperlink r:id="rId82" location="gid=1881234299" ref="E45"/>
    <hyperlink r:id="rId83" ref="D46"/>
    <hyperlink r:id="rId84" location="gid=1321052872" ref="E46"/>
    <hyperlink r:id="rId85" ref="D47"/>
    <hyperlink r:id="rId86" location="gid=1508175364" ref="E47"/>
    <hyperlink r:id="rId87" ref="D48"/>
    <hyperlink r:id="rId88" location="gid=1267180901" ref="E48"/>
    <hyperlink r:id="rId89" ref="D49"/>
    <hyperlink r:id="rId90" location="gid=1237816860" ref="E49"/>
    <hyperlink r:id="rId91" ref="D50"/>
    <hyperlink r:id="rId92" location="gid=501707389" ref="E50"/>
    <hyperlink r:id="rId93" ref="D51"/>
    <hyperlink r:id="rId94" location="gid=435467853" ref="E51"/>
    <hyperlink r:id="rId95" ref="D52"/>
    <hyperlink r:id="rId96" location="gid=1472998017" ref="E52"/>
    <hyperlink r:id="rId97" ref="D53"/>
    <hyperlink r:id="rId98" location="gid=1544323123" ref="E53"/>
    <hyperlink r:id="rId99" ref="D54"/>
    <hyperlink r:id="rId100" location="gid=1544323123" ref="E54"/>
    <hyperlink r:id="rId101" ref="D55"/>
    <hyperlink r:id="rId102" location="gid=1891396071" ref="E55"/>
    <hyperlink r:id="rId103" ref="D56"/>
    <hyperlink r:id="rId104" ref="E56"/>
    <hyperlink r:id="rId105" ref="D57"/>
    <hyperlink r:id="rId106" location="gid=425029731" ref="E57"/>
    <hyperlink r:id="rId107" ref="D58"/>
    <hyperlink r:id="rId108" location="gid=192376876" ref="E58"/>
    <hyperlink r:id="rId109" ref="D59"/>
    <hyperlink r:id="rId110" location="gid=722487043" ref="E59"/>
    <hyperlink r:id="rId111" ref="D60"/>
    <hyperlink r:id="rId112" location="gid=192376876" ref="E60"/>
    <hyperlink r:id="rId113" ref="D61"/>
    <hyperlink r:id="rId114" location="gid=1901285968" ref="E61"/>
    <hyperlink r:id="rId115" ref="D62"/>
    <hyperlink r:id="rId116" location="gid=479034733" ref="E62"/>
    <hyperlink r:id="rId117" ref="D63"/>
    <hyperlink r:id="rId118" location="gid=2146735867" ref="E63"/>
    <hyperlink r:id="rId119" ref="D64"/>
    <hyperlink r:id="rId120" location="gid=82614146" ref="E64"/>
    <hyperlink r:id="rId121" ref="D65"/>
    <hyperlink r:id="rId122" location="gid=82614146" ref="E65"/>
    <hyperlink r:id="rId123" ref="D66"/>
    <hyperlink r:id="rId124" location="gid=82614146" ref="E66"/>
    <hyperlink r:id="rId125" ref="D67"/>
    <hyperlink r:id="rId126" location="gid=1529695293" ref="E67"/>
    <hyperlink r:id="rId127" ref="D68"/>
    <hyperlink r:id="rId128" location="gid=149202820" ref="E68"/>
    <hyperlink r:id="rId129" ref="D69"/>
    <hyperlink r:id="rId130" location="gid=570809168" ref="E69"/>
    <hyperlink r:id="rId131" ref="D70"/>
    <hyperlink r:id="rId132" location="gid=573031349" ref="E70"/>
    <hyperlink r:id="rId133" ref="D71"/>
    <hyperlink r:id="rId134" location="gid=1356865365" ref="E71"/>
    <hyperlink r:id="rId135" ref="D72"/>
  </hyperlinks>
  <drawing r:id="rId13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showGridLines="0" workbookViewId="0"/>
  </sheetViews>
  <sheetFormatPr customHeight="1" defaultColWidth="12.63" defaultRowHeight="15.75"/>
  <cols>
    <col customWidth="1" min="1" max="1" width="9.13"/>
  </cols>
  <sheetData>
    <row r="1">
      <c r="A1" s="10" t="s">
        <v>0</v>
      </c>
    </row>
    <row r="2">
      <c r="A2" s="11"/>
      <c r="B2" s="12" t="s">
        <v>1</v>
      </c>
    </row>
    <row r="3">
      <c r="A3" s="11"/>
      <c r="B3" s="12" t="s">
        <v>2</v>
      </c>
    </row>
    <row r="4">
      <c r="A4" s="11"/>
      <c r="B4" s="12" t="s">
        <v>3</v>
      </c>
    </row>
    <row r="5">
      <c r="A5" s="11"/>
      <c r="B5" s="12" t="s">
        <v>4</v>
      </c>
    </row>
    <row r="6">
      <c r="A6" s="13" t="s">
        <v>5</v>
      </c>
    </row>
  </sheetData>
  <mergeCells count="6">
    <mergeCell ref="A1:H1"/>
    <mergeCell ref="B2:H2"/>
    <mergeCell ref="B3:H3"/>
    <mergeCell ref="B4:H4"/>
    <mergeCell ref="B5:H5"/>
    <mergeCell ref="A6:H6"/>
  </mergeCells>
  <hyperlinks>
    <hyperlink r:id="rId1" ref="A6"/>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7.88"/>
    <col customWidth="1" min="28" max="28" width="14.88"/>
  </cols>
  <sheetData>
    <row r="1" ht="37.5" customHeight="1">
      <c r="A1" s="14" t="s">
        <v>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6"/>
    </row>
    <row r="2">
      <c r="H2" s="17" t="s">
        <v>7</v>
      </c>
      <c r="I2" s="15"/>
      <c r="J2" s="15"/>
      <c r="K2" s="15"/>
      <c r="L2" s="16"/>
      <c r="M2" s="17" t="s">
        <v>8</v>
      </c>
      <c r="N2" s="16"/>
      <c r="O2" s="18" t="s">
        <v>9</v>
      </c>
      <c r="P2" s="15"/>
      <c r="Q2" s="16"/>
      <c r="R2" s="18" t="s">
        <v>10</v>
      </c>
      <c r="S2" s="16"/>
      <c r="T2" s="19" t="s">
        <v>11</v>
      </c>
      <c r="U2" s="19" t="s">
        <v>12</v>
      </c>
      <c r="V2" s="18" t="s">
        <v>13</v>
      </c>
      <c r="W2" s="15"/>
      <c r="X2" s="15"/>
      <c r="Y2" s="15"/>
      <c r="Z2" s="15"/>
      <c r="AA2" s="16"/>
      <c r="AB2" s="20" t="s">
        <v>14</v>
      </c>
      <c r="AC2" s="16"/>
      <c r="AD2" s="18" t="s">
        <v>15</v>
      </c>
      <c r="AE2" s="16"/>
      <c r="AF2" s="19" t="s">
        <v>16</v>
      </c>
      <c r="AG2" s="18" t="s">
        <v>17</v>
      </c>
      <c r="AH2" s="15"/>
      <c r="AI2" s="16"/>
      <c r="AJ2" s="18" t="s">
        <v>18</v>
      </c>
      <c r="AK2" s="15"/>
      <c r="AL2" s="16"/>
      <c r="AM2" s="19" t="s">
        <v>19</v>
      </c>
      <c r="AN2" s="18" t="s">
        <v>20</v>
      </c>
      <c r="AO2" s="16"/>
      <c r="AP2" s="19" t="s">
        <v>21</v>
      </c>
    </row>
    <row r="3">
      <c r="A3" s="21" t="s">
        <v>22</v>
      </c>
      <c r="B3" s="21" t="s">
        <v>23</v>
      </c>
      <c r="C3" s="21" t="s">
        <v>24</v>
      </c>
      <c r="D3" s="21" t="s">
        <v>25</v>
      </c>
      <c r="E3" s="21" t="s">
        <v>26</v>
      </c>
      <c r="F3" s="21" t="s">
        <v>27</v>
      </c>
      <c r="G3" s="21" t="s">
        <v>28</v>
      </c>
      <c r="H3" s="22" t="s">
        <v>29</v>
      </c>
      <c r="I3" s="22" t="s">
        <v>30</v>
      </c>
      <c r="J3" s="22" t="s">
        <v>31</v>
      </c>
      <c r="K3" s="22" t="s">
        <v>32</v>
      </c>
      <c r="L3" s="22" t="s">
        <v>33</v>
      </c>
      <c r="M3" s="22" t="s">
        <v>34</v>
      </c>
      <c r="N3" s="22" t="s">
        <v>35</v>
      </c>
      <c r="O3" s="22" t="s">
        <v>36</v>
      </c>
      <c r="P3" s="22" t="s">
        <v>37</v>
      </c>
      <c r="Q3" s="22" t="s">
        <v>38</v>
      </c>
      <c r="R3" s="22" t="s">
        <v>39</v>
      </c>
      <c r="S3" s="22" t="s">
        <v>40</v>
      </c>
      <c r="T3" s="22" t="s">
        <v>11</v>
      </c>
      <c r="U3" s="22" t="s">
        <v>12</v>
      </c>
      <c r="V3" s="22" t="s">
        <v>41</v>
      </c>
      <c r="W3" s="22" t="s">
        <v>42</v>
      </c>
      <c r="X3" s="22" t="s">
        <v>43</v>
      </c>
      <c r="Y3" s="22" t="s">
        <v>44</v>
      </c>
      <c r="Z3" s="22" t="s">
        <v>45</v>
      </c>
      <c r="AA3" s="22" t="s">
        <v>46</v>
      </c>
      <c r="AB3" s="22" t="s">
        <v>47</v>
      </c>
      <c r="AC3" s="22" t="s">
        <v>48</v>
      </c>
      <c r="AD3" s="22" t="s">
        <v>49</v>
      </c>
      <c r="AE3" s="22" t="s">
        <v>50</v>
      </c>
      <c r="AF3" s="22" t="s">
        <v>51</v>
      </c>
      <c r="AG3" s="22" t="s">
        <v>52</v>
      </c>
      <c r="AH3" s="22" t="s">
        <v>53</v>
      </c>
      <c r="AI3" s="22" t="s">
        <v>54</v>
      </c>
      <c r="AJ3" s="22" t="s">
        <v>55</v>
      </c>
      <c r="AK3" s="22" t="s">
        <v>56</v>
      </c>
      <c r="AL3" s="22" t="s">
        <v>57</v>
      </c>
      <c r="AM3" s="22" t="s">
        <v>58</v>
      </c>
      <c r="AN3" s="22" t="s">
        <v>59</v>
      </c>
      <c r="AO3" s="22" t="s">
        <v>60</v>
      </c>
      <c r="AP3" s="22" t="s">
        <v>61</v>
      </c>
    </row>
    <row r="4">
      <c r="A4" s="23" t="s">
        <v>62</v>
      </c>
      <c r="B4" s="24" t="s">
        <v>63</v>
      </c>
      <c r="C4" s="24" t="s">
        <v>64</v>
      </c>
      <c r="D4" s="25">
        <v>20.0</v>
      </c>
      <c r="E4" s="25">
        <v>4.0</v>
      </c>
      <c r="F4" s="25">
        <v>19.0</v>
      </c>
      <c r="G4" s="25">
        <v>1.0</v>
      </c>
      <c r="H4" s="24" t="s">
        <v>65</v>
      </c>
      <c r="I4" s="24" t="s">
        <v>65</v>
      </c>
      <c r="J4" s="24" t="s">
        <v>65</v>
      </c>
      <c r="K4" s="24" t="s">
        <v>65</v>
      </c>
      <c r="L4" s="24" t="s">
        <v>66</v>
      </c>
      <c r="M4" s="24" t="s">
        <v>65</v>
      </c>
      <c r="N4" s="24" t="s">
        <v>65</v>
      </c>
      <c r="O4" s="24" t="s">
        <v>65</v>
      </c>
      <c r="P4" s="24" t="s">
        <v>66</v>
      </c>
      <c r="Q4" s="24" t="s">
        <v>66</v>
      </c>
      <c r="R4" s="24" t="s">
        <v>66</v>
      </c>
      <c r="S4" s="24" t="s">
        <v>67</v>
      </c>
      <c r="T4" s="24" t="s">
        <v>67</v>
      </c>
      <c r="U4" s="24" t="s">
        <v>68</v>
      </c>
      <c r="V4" s="24" t="s">
        <v>66</v>
      </c>
      <c r="W4" s="24" t="s">
        <v>65</v>
      </c>
      <c r="X4" s="24" t="s">
        <v>66</v>
      </c>
      <c r="Y4" s="24" t="s">
        <v>66</v>
      </c>
      <c r="Z4" s="24" t="s">
        <v>66</v>
      </c>
      <c r="AA4" s="24" t="s">
        <v>66</v>
      </c>
      <c r="AB4" s="24" t="s">
        <v>66</v>
      </c>
      <c r="AC4" s="24" t="s">
        <v>65</v>
      </c>
      <c r="AD4" s="24" t="s">
        <v>65</v>
      </c>
      <c r="AE4" s="24" t="s">
        <v>67</v>
      </c>
      <c r="AF4" s="24" t="s">
        <v>65</v>
      </c>
      <c r="AG4" s="24" t="s">
        <v>67</v>
      </c>
      <c r="AH4" s="24" t="s">
        <v>66</v>
      </c>
      <c r="AI4" s="24" t="s">
        <v>66</v>
      </c>
      <c r="AJ4" s="24" t="s">
        <v>65</v>
      </c>
      <c r="AK4" s="24" t="s">
        <v>65</v>
      </c>
      <c r="AL4" s="24" t="s">
        <v>66</v>
      </c>
      <c r="AM4" s="24" t="s">
        <v>66</v>
      </c>
      <c r="AN4" s="24" t="s">
        <v>66</v>
      </c>
      <c r="AO4" s="24" t="s">
        <v>65</v>
      </c>
      <c r="AP4" s="24" t="s">
        <v>65</v>
      </c>
    </row>
    <row r="5">
      <c r="A5" s="23" t="s">
        <v>69</v>
      </c>
      <c r="B5" s="24" t="s">
        <v>70</v>
      </c>
      <c r="C5" s="24" t="s">
        <v>71</v>
      </c>
      <c r="D5" s="25">
        <v>12.0</v>
      </c>
      <c r="E5" s="25">
        <v>0.0</v>
      </c>
      <c r="F5" s="25">
        <v>12.0</v>
      </c>
      <c r="G5" s="25">
        <v>0.0</v>
      </c>
      <c r="H5" s="24" t="s">
        <v>65</v>
      </c>
      <c r="I5" s="24" t="s">
        <v>65</v>
      </c>
      <c r="J5" s="24" t="s">
        <v>65</v>
      </c>
      <c r="K5" s="24" t="s">
        <v>65</v>
      </c>
      <c r="L5" s="24" t="s">
        <v>66</v>
      </c>
      <c r="M5" s="24" t="s">
        <v>65</v>
      </c>
      <c r="N5" s="24" t="s">
        <v>65</v>
      </c>
      <c r="O5" s="24" t="s">
        <v>65</v>
      </c>
      <c r="P5" s="24" t="s">
        <v>66</v>
      </c>
      <c r="Q5" s="24" t="s">
        <v>66</v>
      </c>
      <c r="R5" s="24" t="s">
        <v>65</v>
      </c>
      <c r="S5" s="24" t="s">
        <v>66</v>
      </c>
      <c r="T5" s="24" t="s">
        <v>66</v>
      </c>
      <c r="U5" s="24" t="s">
        <v>66</v>
      </c>
      <c r="V5" s="24" t="s">
        <v>66</v>
      </c>
      <c r="W5" s="24" t="s">
        <v>66</v>
      </c>
      <c r="X5" s="24" t="s">
        <v>66</v>
      </c>
      <c r="Y5" s="24" t="s">
        <v>66</v>
      </c>
      <c r="Z5" s="24" t="s">
        <v>66</v>
      </c>
      <c r="AA5" s="24" t="s">
        <v>66</v>
      </c>
      <c r="AB5" s="24" t="s">
        <v>66</v>
      </c>
      <c r="AC5" s="24" t="s">
        <v>66</v>
      </c>
      <c r="AD5" s="24" t="s">
        <v>66</v>
      </c>
      <c r="AE5" s="24" t="s">
        <v>66</v>
      </c>
      <c r="AF5" s="24" t="s">
        <v>66</v>
      </c>
      <c r="AG5" s="24" t="s">
        <v>65</v>
      </c>
      <c r="AH5" s="24" t="s">
        <v>66</v>
      </c>
      <c r="AI5" s="24" t="s">
        <v>66</v>
      </c>
      <c r="AJ5" s="24" t="s">
        <v>65</v>
      </c>
      <c r="AK5" s="24" t="s">
        <v>65</v>
      </c>
      <c r="AL5" s="24" t="s">
        <v>66</v>
      </c>
      <c r="AM5" s="24" t="s">
        <v>66</v>
      </c>
      <c r="AN5" s="24" t="s">
        <v>66</v>
      </c>
      <c r="AO5" s="24" t="s">
        <v>65</v>
      </c>
      <c r="AP5" s="24" t="s">
        <v>66</v>
      </c>
    </row>
    <row r="6">
      <c r="A6" s="23" t="s">
        <v>72</v>
      </c>
      <c r="B6" s="24" t="s">
        <v>73</v>
      </c>
      <c r="C6" s="24" t="s">
        <v>74</v>
      </c>
      <c r="D6" s="25">
        <v>7.0</v>
      </c>
      <c r="E6" s="25">
        <v>3.0</v>
      </c>
      <c r="F6" s="25">
        <v>2.0</v>
      </c>
      <c r="G6" s="25">
        <v>5.0</v>
      </c>
      <c r="H6" s="24" t="s">
        <v>66</v>
      </c>
      <c r="I6" s="24" t="s">
        <v>65</v>
      </c>
      <c r="J6" s="24" t="s">
        <v>66</v>
      </c>
      <c r="K6" s="24" t="s">
        <v>66</v>
      </c>
      <c r="L6" s="24" t="s">
        <v>66</v>
      </c>
      <c r="M6" s="24" t="s">
        <v>66</v>
      </c>
      <c r="N6" s="24" t="s">
        <v>66</v>
      </c>
      <c r="O6" s="24" t="s">
        <v>66</v>
      </c>
      <c r="P6" s="24" t="s">
        <v>66</v>
      </c>
      <c r="Q6" s="24" t="s">
        <v>66</v>
      </c>
      <c r="R6" s="24" t="s">
        <v>66</v>
      </c>
      <c r="S6" s="24" t="s">
        <v>75</v>
      </c>
      <c r="T6" s="24" t="s">
        <v>66</v>
      </c>
      <c r="U6" s="24" t="s">
        <v>66</v>
      </c>
      <c r="V6" s="24" t="s">
        <v>66</v>
      </c>
      <c r="W6" s="24" t="s">
        <v>66</v>
      </c>
      <c r="X6" s="24" t="s">
        <v>66</v>
      </c>
      <c r="Y6" s="24" t="s">
        <v>66</v>
      </c>
      <c r="Z6" s="24" t="s">
        <v>66</v>
      </c>
      <c r="AA6" s="24" t="s">
        <v>66</v>
      </c>
      <c r="AB6" s="24" t="s">
        <v>66</v>
      </c>
      <c r="AC6" s="24" t="s">
        <v>66</v>
      </c>
      <c r="AD6" s="24" t="s">
        <v>68</v>
      </c>
      <c r="AE6" s="24" t="s">
        <v>66</v>
      </c>
      <c r="AF6" s="24" t="s">
        <v>75</v>
      </c>
      <c r="AG6" s="24" t="s">
        <v>65</v>
      </c>
      <c r="AH6" s="24" t="s">
        <v>66</v>
      </c>
      <c r="AI6" s="24" t="s">
        <v>66</v>
      </c>
      <c r="AJ6" s="24" t="s">
        <v>66</v>
      </c>
      <c r="AK6" s="24" t="s">
        <v>68</v>
      </c>
      <c r="AL6" s="24" t="s">
        <v>66</v>
      </c>
      <c r="AM6" s="24" t="s">
        <v>66</v>
      </c>
      <c r="AN6" s="24" t="s">
        <v>66</v>
      </c>
      <c r="AO6" s="24" t="s">
        <v>66</v>
      </c>
      <c r="AP6" s="24" t="s">
        <v>75</v>
      </c>
    </row>
    <row r="7">
      <c r="A7" s="23" t="s">
        <v>76</v>
      </c>
      <c r="B7" s="24" t="s">
        <v>77</v>
      </c>
      <c r="C7" s="24" t="s">
        <v>78</v>
      </c>
      <c r="D7" s="25">
        <v>21.0</v>
      </c>
      <c r="E7" s="25">
        <v>2.0</v>
      </c>
      <c r="F7" s="25">
        <v>20.0</v>
      </c>
      <c r="G7" s="25">
        <v>1.0</v>
      </c>
      <c r="H7" s="24" t="s">
        <v>65</v>
      </c>
      <c r="I7" s="24" t="s">
        <v>65</v>
      </c>
      <c r="J7" s="24" t="s">
        <v>66</v>
      </c>
      <c r="K7" s="24" t="s">
        <v>66</v>
      </c>
      <c r="L7" s="24" t="s">
        <v>66</v>
      </c>
      <c r="M7" s="24" t="s">
        <v>65</v>
      </c>
      <c r="N7" s="24" t="s">
        <v>65</v>
      </c>
      <c r="O7" s="24" t="s">
        <v>66</v>
      </c>
      <c r="P7" s="24" t="s">
        <v>66</v>
      </c>
      <c r="Q7" s="24" t="s">
        <v>66</v>
      </c>
      <c r="R7" s="24" t="s">
        <v>65</v>
      </c>
      <c r="S7" s="24" t="s">
        <v>65</v>
      </c>
      <c r="T7" s="24" t="s">
        <v>66</v>
      </c>
      <c r="U7" s="24" t="s">
        <v>65</v>
      </c>
      <c r="V7" s="24" t="s">
        <v>66</v>
      </c>
      <c r="W7" s="24" t="s">
        <v>65</v>
      </c>
      <c r="X7" s="24" t="s">
        <v>66</v>
      </c>
      <c r="Y7" s="24" t="s">
        <v>66</v>
      </c>
      <c r="Z7" s="24" t="s">
        <v>65</v>
      </c>
      <c r="AA7" s="24" t="s">
        <v>65</v>
      </c>
      <c r="AB7" s="24" t="s">
        <v>66</v>
      </c>
      <c r="AC7" s="24" t="s">
        <v>65</v>
      </c>
      <c r="AD7" s="24" t="s">
        <v>65</v>
      </c>
      <c r="AE7" s="24" t="s">
        <v>67</v>
      </c>
      <c r="AF7" s="24" t="s">
        <v>67</v>
      </c>
      <c r="AG7" s="24" t="s">
        <v>65</v>
      </c>
      <c r="AH7" s="24" t="s">
        <v>65</v>
      </c>
      <c r="AI7" s="24" t="s">
        <v>68</v>
      </c>
      <c r="AJ7" s="24" t="s">
        <v>65</v>
      </c>
      <c r="AK7" s="24" t="s">
        <v>65</v>
      </c>
      <c r="AL7" s="24" t="s">
        <v>66</v>
      </c>
      <c r="AM7" s="24" t="s">
        <v>66</v>
      </c>
      <c r="AN7" s="24" t="s">
        <v>66</v>
      </c>
      <c r="AO7" s="24" t="s">
        <v>65</v>
      </c>
      <c r="AP7" s="24" t="s">
        <v>65</v>
      </c>
    </row>
    <row r="8">
      <c r="A8" s="23" t="s">
        <v>79</v>
      </c>
      <c r="B8" s="24" t="s">
        <v>80</v>
      </c>
      <c r="C8" s="24" t="s">
        <v>81</v>
      </c>
      <c r="D8" s="25">
        <v>7.0</v>
      </c>
      <c r="E8" s="25">
        <v>2.0</v>
      </c>
      <c r="F8" s="25">
        <v>6.0</v>
      </c>
      <c r="G8" s="25">
        <v>1.0</v>
      </c>
      <c r="H8" s="24" t="s">
        <v>66</v>
      </c>
      <c r="I8" s="24" t="s">
        <v>66</v>
      </c>
      <c r="J8" s="24" t="s">
        <v>66</v>
      </c>
      <c r="K8" s="24" t="s">
        <v>66</v>
      </c>
      <c r="L8" s="24" t="s">
        <v>66</v>
      </c>
      <c r="M8" s="24" t="s">
        <v>65</v>
      </c>
      <c r="N8" s="24" t="s">
        <v>65</v>
      </c>
      <c r="O8" s="24" t="s">
        <v>66</v>
      </c>
      <c r="P8" s="24" t="s">
        <v>66</v>
      </c>
      <c r="Q8" s="24" t="s">
        <v>66</v>
      </c>
      <c r="R8" s="24" t="s">
        <v>66</v>
      </c>
      <c r="S8" s="24" t="s">
        <v>66</v>
      </c>
      <c r="T8" s="24" t="s">
        <v>66</v>
      </c>
      <c r="U8" s="24" t="s">
        <v>66</v>
      </c>
      <c r="V8" s="24" t="s">
        <v>66</v>
      </c>
      <c r="W8" s="24" t="s">
        <v>66</v>
      </c>
      <c r="X8" s="24" t="s">
        <v>66</v>
      </c>
      <c r="Y8" s="24" t="s">
        <v>66</v>
      </c>
      <c r="Z8" s="24" t="s">
        <v>66</v>
      </c>
      <c r="AA8" s="24" t="s">
        <v>66</v>
      </c>
      <c r="AB8" s="24" t="s">
        <v>66</v>
      </c>
      <c r="AC8" s="24" t="s">
        <v>66</v>
      </c>
      <c r="AD8" s="24" t="s">
        <v>67</v>
      </c>
      <c r="AE8" s="24" t="s">
        <v>67</v>
      </c>
      <c r="AF8" s="24" t="s">
        <v>66</v>
      </c>
      <c r="AG8" s="24" t="s">
        <v>66</v>
      </c>
      <c r="AH8" s="24" t="s">
        <v>66</v>
      </c>
      <c r="AI8" s="24" t="s">
        <v>66</v>
      </c>
      <c r="AJ8" s="24" t="s">
        <v>65</v>
      </c>
      <c r="AK8" s="24" t="s">
        <v>68</v>
      </c>
      <c r="AL8" s="24" t="s">
        <v>66</v>
      </c>
      <c r="AM8" s="24" t="s">
        <v>66</v>
      </c>
      <c r="AN8" s="24" t="s">
        <v>66</v>
      </c>
      <c r="AO8" s="24" t="s">
        <v>65</v>
      </c>
      <c r="AP8" s="24" t="s">
        <v>66</v>
      </c>
    </row>
    <row r="9">
      <c r="A9" s="23" t="s">
        <v>82</v>
      </c>
      <c r="B9" s="24" t="s">
        <v>83</v>
      </c>
      <c r="C9" s="24" t="s">
        <v>84</v>
      </c>
      <c r="D9" s="25">
        <v>11.0</v>
      </c>
      <c r="E9" s="25">
        <v>2.0</v>
      </c>
      <c r="F9" s="25">
        <v>11.0</v>
      </c>
      <c r="G9" s="25">
        <v>0.0</v>
      </c>
      <c r="H9" s="24" t="s">
        <v>65</v>
      </c>
      <c r="I9" s="24" t="s">
        <v>65</v>
      </c>
      <c r="J9" s="24" t="s">
        <v>66</v>
      </c>
      <c r="K9" s="24" t="s">
        <v>66</v>
      </c>
      <c r="L9" s="24" t="s">
        <v>66</v>
      </c>
      <c r="M9" s="24" t="s">
        <v>65</v>
      </c>
      <c r="N9" s="24" t="s">
        <v>65</v>
      </c>
      <c r="O9" s="24" t="s">
        <v>66</v>
      </c>
      <c r="P9" s="24" t="s">
        <v>66</v>
      </c>
      <c r="Q9" s="24" t="s">
        <v>66</v>
      </c>
      <c r="R9" s="24" t="s">
        <v>66</v>
      </c>
      <c r="S9" s="24" t="s">
        <v>66</v>
      </c>
      <c r="T9" s="24" t="s">
        <v>65</v>
      </c>
      <c r="U9" s="24" t="s">
        <v>66</v>
      </c>
      <c r="V9" s="24" t="s">
        <v>66</v>
      </c>
      <c r="W9" s="24" t="s">
        <v>66</v>
      </c>
      <c r="X9" s="24" t="s">
        <v>66</v>
      </c>
      <c r="Y9" s="24" t="s">
        <v>66</v>
      </c>
      <c r="Z9" s="24" t="s">
        <v>66</v>
      </c>
      <c r="AA9" s="24" t="s">
        <v>65</v>
      </c>
      <c r="AB9" s="24" t="s">
        <v>66</v>
      </c>
      <c r="AC9" s="24" t="s">
        <v>66</v>
      </c>
      <c r="AD9" s="24" t="s">
        <v>67</v>
      </c>
      <c r="AE9" s="24" t="s">
        <v>67</v>
      </c>
      <c r="AF9" s="24" t="s">
        <v>66</v>
      </c>
      <c r="AG9" s="24" t="s">
        <v>65</v>
      </c>
      <c r="AH9" s="24" t="s">
        <v>66</v>
      </c>
      <c r="AI9" s="24" t="s">
        <v>66</v>
      </c>
      <c r="AJ9" s="24" t="s">
        <v>65</v>
      </c>
      <c r="AK9" s="24" t="s">
        <v>65</v>
      </c>
      <c r="AL9" s="24" t="s">
        <v>66</v>
      </c>
      <c r="AM9" s="24" t="s">
        <v>66</v>
      </c>
      <c r="AN9" s="24" t="s">
        <v>66</v>
      </c>
      <c r="AO9" s="24" t="s">
        <v>66</v>
      </c>
      <c r="AP9" s="24" t="s">
        <v>66</v>
      </c>
    </row>
    <row r="10">
      <c r="A10" s="23" t="s">
        <v>85</v>
      </c>
      <c r="B10" s="24" t="s">
        <v>86</v>
      </c>
      <c r="C10" s="24" t="s">
        <v>87</v>
      </c>
      <c r="D10" s="25">
        <v>13.0</v>
      </c>
      <c r="E10" s="25">
        <v>2.0</v>
      </c>
      <c r="F10" s="25">
        <v>9.0</v>
      </c>
      <c r="G10" s="25">
        <v>4.0</v>
      </c>
      <c r="H10" s="24" t="s">
        <v>65</v>
      </c>
      <c r="I10" s="24" t="s">
        <v>67</v>
      </c>
      <c r="J10" s="24" t="s">
        <v>66</v>
      </c>
      <c r="K10" s="24" t="s">
        <v>65</v>
      </c>
      <c r="L10" s="24" t="s">
        <v>66</v>
      </c>
      <c r="M10" s="24" t="s">
        <v>65</v>
      </c>
      <c r="N10" s="24" t="s">
        <v>65</v>
      </c>
      <c r="O10" s="24" t="s">
        <v>66</v>
      </c>
      <c r="P10" s="24" t="s">
        <v>66</v>
      </c>
      <c r="Q10" s="24" t="s">
        <v>66</v>
      </c>
      <c r="R10" s="24" t="s">
        <v>66</v>
      </c>
      <c r="S10" s="24" t="s">
        <v>68</v>
      </c>
      <c r="T10" s="24" t="s">
        <v>66</v>
      </c>
      <c r="U10" s="24" t="s">
        <v>66</v>
      </c>
      <c r="V10" s="24" t="s">
        <v>66</v>
      </c>
      <c r="W10" s="24" t="s">
        <v>65</v>
      </c>
      <c r="X10" s="24" t="s">
        <v>66</v>
      </c>
      <c r="Y10" s="24" t="s">
        <v>66</v>
      </c>
      <c r="Z10" s="24" t="s">
        <v>66</v>
      </c>
      <c r="AA10" s="24" t="s">
        <v>65</v>
      </c>
      <c r="AB10" s="24" t="s">
        <v>66</v>
      </c>
      <c r="AC10" s="24" t="s">
        <v>66</v>
      </c>
      <c r="AD10" s="24" t="s">
        <v>67</v>
      </c>
      <c r="AE10" s="24" t="s">
        <v>66</v>
      </c>
      <c r="AF10" s="24" t="s">
        <v>66</v>
      </c>
      <c r="AG10" s="24" t="s">
        <v>65</v>
      </c>
      <c r="AH10" s="24" t="s">
        <v>66</v>
      </c>
      <c r="AI10" s="24" t="s">
        <v>66</v>
      </c>
      <c r="AJ10" s="24" t="s">
        <v>68</v>
      </c>
      <c r="AK10" s="24" t="s">
        <v>68</v>
      </c>
      <c r="AL10" s="24" t="s">
        <v>66</v>
      </c>
      <c r="AM10" s="24" t="s">
        <v>66</v>
      </c>
      <c r="AN10" s="24" t="s">
        <v>66</v>
      </c>
      <c r="AO10" s="24" t="s">
        <v>68</v>
      </c>
      <c r="AP10" s="24" t="s">
        <v>66</v>
      </c>
    </row>
    <row r="11">
      <c r="A11" s="23" t="s">
        <v>88</v>
      </c>
      <c r="B11" s="24" t="s">
        <v>89</v>
      </c>
      <c r="C11" s="24" t="s">
        <v>90</v>
      </c>
      <c r="D11" s="25">
        <v>9.0</v>
      </c>
      <c r="E11" s="25">
        <v>2.0</v>
      </c>
      <c r="F11" s="25">
        <v>9.0</v>
      </c>
      <c r="G11" s="25">
        <v>0.0</v>
      </c>
      <c r="H11" s="24" t="s">
        <v>65</v>
      </c>
      <c r="I11" s="24" t="s">
        <v>65</v>
      </c>
      <c r="J11" s="24" t="s">
        <v>66</v>
      </c>
      <c r="K11" s="24" t="s">
        <v>66</v>
      </c>
      <c r="L11" s="24" t="s">
        <v>66</v>
      </c>
      <c r="M11" s="24" t="s">
        <v>65</v>
      </c>
      <c r="N11" s="24" t="s">
        <v>65</v>
      </c>
      <c r="O11" s="24" t="s">
        <v>66</v>
      </c>
      <c r="P11" s="24" t="s">
        <v>66</v>
      </c>
      <c r="Q11" s="24" t="s">
        <v>66</v>
      </c>
      <c r="R11" s="24" t="s">
        <v>66</v>
      </c>
      <c r="S11" s="24" t="s">
        <v>66</v>
      </c>
      <c r="T11" s="24" t="s">
        <v>66</v>
      </c>
      <c r="U11" s="24" t="s">
        <v>66</v>
      </c>
      <c r="V11" s="24" t="s">
        <v>66</v>
      </c>
      <c r="W11" s="24" t="s">
        <v>66</v>
      </c>
      <c r="X11" s="24" t="s">
        <v>66</v>
      </c>
      <c r="Y11" s="24" t="s">
        <v>66</v>
      </c>
      <c r="Z11" s="24" t="s">
        <v>66</v>
      </c>
      <c r="AA11" s="24" t="s">
        <v>66</v>
      </c>
      <c r="AB11" s="24" t="s">
        <v>66</v>
      </c>
      <c r="AC11" s="24" t="s">
        <v>66</v>
      </c>
      <c r="AD11" s="24" t="s">
        <v>67</v>
      </c>
      <c r="AE11" s="24" t="s">
        <v>67</v>
      </c>
      <c r="AF11" s="24" t="s">
        <v>66</v>
      </c>
      <c r="AG11" s="24" t="s">
        <v>65</v>
      </c>
      <c r="AH11" s="24" t="s">
        <v>66</v>
      </c>
      <c r="AI11" s="24" t="s">
        <v>66</v>
      </c>
      <c r="AJ11" s="24" t="s">
        <v>65</v>
      </c>
      <c r="AK11" s="24" t="s">
        <v>65</v>
      </c>
      <c r="AL11" s="24" t="s">
        <v>66</v>
      </c>
      <c r="AM11" s="24" t="s">
        <v>66</v>
      </c>
      <c r="AN11" s="24" t="s">
        <v>66</v>
      </c>
      <c r="AO11" s="24" t="s">
        <v>66</v>
      </c>
      <c r="AP11" s="24" t="s">
        <v>66</v>
      </c>
    </row>
    <row r="12">
      <c r="A12" s="23" t="s">
        <v>91</v>
      </c>
      <c r="B12" s="24" t="s">
        <v>92</v>
      </c>
      <c r="C12" s="24" t="s">
        <v>93</v>
      </c>
      <c r="D12" s="25">
        <v>10.0</v>
      </c>
      <c r="E12" s="25">
        <v>0.0</v>
      </c>
      <c r="F12" s="25">
        <v>8.0</v>
      </c>
      <c r="G12" s="25">
        <v>2.0</v>
      </c>
      <c r="H12" s="24" t="s">
        <v>66</v>
      </c>
      <c r="I12" s="24" t="s">
        <v>66</v>
      </c>
      <c r="J12" s="24" t="s">
        <v>66</v>
      </c>
      <c r="K12" s="24" t="s">
        <v>66</v>
      </c>
      <c r="L12" s="24" t="s">
        <v>66</v>
      </c>
      <c r="M12" s="24" t="s">
        <v>65</v>
      </c>
      <c r="N12" s="24" t="s">
        <v>65</v>
      </c>
      <c r="O12" s="24" t="s">
        <v>65</v>
      </c>
      <c r="P12" s="24" t="s">
        <v>66</v>
      </c>
      <c r="Q12" s="24" t="s">
        <v>66</v>
      </c>
      <c r="R12" s="24" t="s">
        <v>66</v>
      </c>
      <c r="S12" s="24" t="s">
        <v>66</v>
      </c>
      <c r="T12" s="24" t="s">
        <v>66</v>
      </c>
      <c r="U12" s="24" t="s">
        <v>66</v>
      </c>
      <c r="V12" s="24" t="s">
        <v>66</v>
      </c>
      <c r="W12" s="24" t="s">
        <v>66</v>
      </c>
      <c r="X12" s="24" t="s">
        <v>66</v>
      </c>
      <c r="Y12" s="24" t="s">
        <v>66</v>
      </c>
      <c r="Z12" s="24" t="s">
        <v>66</v>
      </c>
      <c r="AA12" s="24" t="s">
        <v>66</v>
      </c>
      <c r="AB12" s="24" t="s">
        <v>66</v>
      </c>
      <c r="AC12" s="24" t="s">
        <v>66</v>
      </c>
      <c r="AD12" s="24" t="s">
        <v>65</v>
      </c>
      <c r="AE12" s="24" t="s">
        <v>65</v>
      </c>
      <c r="AF12" s="24" t="s">
        <v>65</v>
      </c>
      <c r="AG12" s="24" t="s">
        <v>65</v>
      </c>
      <c r="AH12" s="24" t="s">
        <v>65</v>
      </c>
      <c r="AI12" s="24" t="s">
        <v>66</v>
      </c>
      <c r="AJ12" s="24" t="s">
        <v>66</v>
      </c>
      <c r="AK12" s="24" t="s">
        <v>68</v>
      </c>
      <c r="AL12" s="24" t="s">
        <v>66</v>
      </c>
      <c r="AM12" s="24" t="s">
        <v>66</v>
      </c>
      <c r="AN12" s="24" t="s">
        <v>66</v>
      </c>
      <c r="AO12" s="24" t="s">
        <v>68</v>
      </c>
      <c r="AP12" s="24" t="s">
        <v>66</v>
      </c>
    </row>
    <row r="13">
      <c r="A13" s="23" t="s">
        <v>94</v>
      </c>
      <c r="B13" s="24" t="s">
        <v>95</v>
      </c>
      <c r="C13" s="24" t="s">
        <v>96</v>
      </c>
      <c r="D13" s="25">
        <v>12.0</v>
      </c>
      <c r="E13" s="25">
        <v>1.0</v>
      </c>
      <c r="F13" s="25">
        <v>12.0</v>
      </c>
      <c r="G13" s="25">
        <v>0.0</v>
      </c>
      <c r="H13" s="24" t="s">
        <v>65</v>
      </c>
      <c r="I13" s="24" t="s">
        <v>65</v>
      </c>
      <c r="J13" s="24" t="s">
        <v>66</v>
      </c>
      <c r="K13" s="24" t="s">
        <v>66</v>
      </c>
      <c r="L13" s="24" t="s">
        <v>66</v>
      </c>
      <c r="M13" s="24" t="s">
        <v>65</v>
      </c>
      <c r="N13" s="24" t="s">
        <v>65</v>
      </c>
      <c r="O13" s="24" t="s">
        <v>66</v>
      </c>
      <c r="P13" s="24" t="s">
        <v>66</v>
      </c>
      <c r="Q13" s="24" t="s">
        <v>66</v>
      </c>
      <c r="R13" s="24" t="s">
        <v>66</v>
      </c>
      <c r="S13" s="24" t="s">
        <v>66</v>
      </c>
      <c r="T13" s="24" t="s">
        <v>66</v>
      </c>
      <c r="U13" s="24" t="s">
        <v>66</v>
      </c>
      <c r="V13" s="24" t="s">
        <v>66</v>
      </c>
      <c r="W13" s="24" t="s">
        <v>66</v>
      </c>
      <c r="X13" s="24" t="s">
        <v>66</v>
      </c>
      <c r="Y13" s="24" t="s">
        <v>66</v>
      </c>
      <c r="Z13" s="24" t="s">
        <v>65</v>
      </c>
      <c r="AA13" s="24" t="s">
        <v>66</v>
      </c>
      <c r="AB13" s="24" t="s">
        <v>66</v>
      </c>
      <c r="AC13" s="24" t="s">
        <v>66</v>
      </c>
      <c r="AD13" s="24" t="s">
        <v>65</v>
      </c>
      <c r="AE13" s="24" t="s">
        <v>65</v>
      </c>
      <c r="AF13" s="24" t="s">
        <v>66</v>
      </c>
      <c r="AG13" s="24" t="s">
        <v>67</v>
      </c>
      <c r="AH13" s="24" t="s">
        <v>65</v>
      </c>
      <c r="AI13" s="24" t="s">
        <v>66</v>
      </c>
      <c r="AJ13" s="24" t="s">
        <v>65</v>
      </c>
      <c r="AK13" s="24" t="s">
        <v>65</v>
      </c>
      <c r="AL13" s="24" t="s">
        <v>66</v>
      </c>
      <c r="AM13" s="24" t="s">
        <v>66</v>
      </c>
      <c r="AN13" s="24" t="s">
        <v>66</v>
      </c>
      <c r="AO13" s="24" t="s">
        <v>65</v>
      </c>
      <c r="AP13" s="24" t="s">
        <v>66</v>
      </c>
    </row>
    <row r="14">
      <c r="A14" s="23" t="s">
        <v>97</v>
      </c>
      <c r="B14" s="24" t="s">
        <v>98</v>
      </c>
      <c r="C14" s="24" t="s">
        <v>99</v>
      </c>
      <c r="D14" s="25">
        <v>21.0</v>
      </c>
      <c r="E14" s="25">
        <v>0.0</v>
      </c>
      <c r="F14" s="25">
        <v>19.0</v>
      </c>
      <c r="G14" s="25">
        <v>2.0</v>
      </c>
      <c r="H14" s="24" t="s">
        <v>65</v>
      </c>
      <c r="I14" s="24" t="s">
        <v>65</v>
      </c>
      <c r="J14" s="24" t="s">
        <v>65</v>
      </c>
      <c r="K14" s="24" t="s">
        <v>66</v>
      </c>
      <c r="L14" s="24" t="s">
        <v>66</v>
      </c>
      <c r="M14" s="24" t="s">
        <v>65</v>
      </c>
      <c r="N14" s="24" t="s">
        <v>65</v>
      </c>
      <c r="O14" s="24" t="s">
        <v>66</v>
      </c>
      <c r="P14" s="24" t="s">
        <v>66</v>
      </c>
      <c r="Q14" s="24" t="s">
        <v>66</v>
      </c>
      <c r="R14" s="24" t="s">
        <v>65</v>
      </c>
      <c r="S14" s="24" t="s">
        <v>65</v>
      </c>
      <c r="T14" s="24" t="s">
        <v>65</v>
      </c>
      <c r="U14" s="24" t="s">
        <v>68</v>
      </c>
      <c r="V14" s="24" t="s">
        <v>65</v>
      </c>
      <c r="W14" s="24" t="s">
        <v>65</v>
      </c>
      <c r="X14" s="24" t="s">
        <v>66</v>
      </c>
      <c r="Y14" s="24" t="s">
        <v>66</v>
      </c>
      <c r="Z14" s="24" t="s">
        <v>65</v>
      </c>
      <c r="AA14" s="24" t="s">
        <v>65</v>
      </c>
      <c r="AB14" s="24" t="s">
        <v>66</v>
      </c>
      <c r="AC14" s="24" t="s">
        <v>66</v>
      </c>
      <c r="AD14" s="24" t="s">
        <v>65</v>
      </c>
      <c r="AE14" s="24" t="s">
        <v>66</v>
      </c>
      <c r="AF14" s="24" t="s">
        <v>65</v>
      </c>
      <c r="AG14" s="24" t="s">
        <v>65</v>
      </c>
      <c r="AH14" s="24" t="s">
        <v>65</v>
      </c>
      <c r="AI14" s="24" t="s">
        <v>66</v>
      </c>
      <c r="AJ14" s="24" t="s">
        <v>65</v>
      </c>
      <c r="AK14" s="24" t="s">
        <v>68</v>
      </c>
      <c r="AL14" s="24" t="s">
        <v>66</v>
      </c>
      <c r="AM14" s="24" t="s">
        <v>66</v>
      </c>
      <c r="AN14" s="24" t="s">
        <v>66</v>
      </c>
      <c r="AO14" s="24" t="s">
        <v>65</v>
      </c>
      <c r="AP14" s="24" t="s">
        <v>65</v>
      </c>
    </row>
    <row r="15">
      <c r="A15" s="23" t="s">
        <v>100</v>
      </c>
      <c r="B15" s="24" t="s">
        <v>101</v>
      </c>
      <c r="C15" s="24" t="s">
        <v>102</v>
      </c>
      <c r="D15" s="25">
        <v>8.0</v>
      </c>
      <c r="E15" s="25">
        <v>1.0</v>
      </c>
      <c r="F15" s="25">
        <v>4.0</v>
      </c>
      <c r="G15" s="25">
        <v>4.0</v>
      </c>
      <c r="H15" s="24" t="s">
        <v>65</v>
      </c>
      <c r="I15" s="24" t="s">
        <v>65</v>
      </c>
      <c r="J15" s="24" t="s">
        <v>66</v>
      </c>
      <c r="K15" s="24" t="s">
        <v>66</v>
      </c>
      <c r="L15" s="24" t="s">
        <v>66</v>
      </c>
      <c r="M15" s="24" t="s">
        <v>65</v>
      </c>
      <c r="N15" s="24" t="s">
        <v>65</v>
      </c>
      <c r="O15" s="24" t="s">
        <v>66</v>
      </c>
      <c r="P15" s="24" t="s">
        <v>66</v>
      </c>
      <c r="Q15" s="24" t="s">
        <v>66</v>
      </c>
      <c r="R15" s="24" t="s">
        <v>66</v>
      </c>
      <c r="S15" s="24" t="s">
        <v>66</v>
      </c>
      <c r="T15" s="24" t="s">
        <v>66</v>
      </c>
      <c r="U15" s="24" t="s">
        <v>66</v>
      </c>
      <c r="V15" s="24" t="s">
        <v>66</v>
      </c>
      <c r="W15" s="24" t="s">
        <v>66</v>
      </c>
      <c r="X15" s="24" t="s">
        <v>66</v>
      </c>
      <c r="Y15" s="24" t="s">
        <v>66</v>
      </c>
      <c r="Z15" s="24" t="s">
        <v>66</v>
      </c>
      <c r="AA15" s="24" t="s">
        <v>66</v>
      </c>
      <c r="AB15" s="24" t="s">
        <v>66</v>
      </c>
      <c r="AC15" s="24" t="s">
        <v>66</v>
      </c>
      <c r="AD15" s="24" t="s">
        <v>68</v>
      </c>
      <c r="AE15" s="24" t="s">
        <v>66</v>
      </c>
      <c r="AF15" s="24" t="s">
        <v>66</v>
      </c>
      <c r="AG15" s="24" t="s">
        <v>75</v>
      </c>
      <c r="AH15" s="24" t="s">
        <v>66</v>
      </c>
      <c r="AI15" s="24" t="s">
        <v>66</v>
      </c>
      <c r="AJ15" s="24" t="s">
        <v>68</v>
      </c>
      <c r="AK15" s="24" t="s">
        <v>68</v>
      </c>
      <c r="AL15" s="24" t="s">
        <v>66</v>
      </c>
      <c r="AM15" s="24" t="s">
        <v>66</v>
      </c>
      <c r="AN15" s="24" t="s">
        <v>66</v>
      </c>
      <c r="AO15" s="24" t="s">
        <v>66</v>
      </c>
      <c r="AP15" s="24" t="s">
        <v>66</v>
      </c>
    </row>
    <row r="16">
      <c r="A16" s="23" t="s">
        <v>103</v>
      </c>
      <c r="B16" s="24" t="s">
        <v>104</v>
      </c>
      <c r="C16" s="24" t="s">
        <v>105</v>
      </c>
      <c r="D16" s="25">
        <v>16.0</v>
      </c>
      <c r="E16" s="25">
        <v>1.0</v>
      </c>
      <c r="F16" s="25">
        <v>13.0</v>
      </c>
      <c r="G16" s="25">
        <v>3.0</v>
      </c>
      <c r="H16" s="24" t="s">
        <v>65</v>
      </c>
      <c r="I16" s="24" t="s">
        <v>65</v>
      </c>
      <c r="J16" s="24" t="s">
        <v>66</v>
      </c>
      <c r="K16" s="24" t="s">
        <v>66</v>
      </c>
      <c r="L16" s="24" t="s">
        <v>66</v>
      </c>
      <c r="M16" s="24" t="s">
        <v>65</v>
      </c>
      <c r="N16" s="24" t="s">
        <v>65</v>
      </c>
      <c r="O16" s="24" t="s">
        <v>66</v>
      </c>
      <c r="P16" s="24" t="s">
        <v>66</v>
      </c>
      <c r="Q16" s="24" t="s">
        <v>66</v>
      </c>
      <c r="R16" s="24" t="s">
        <v>65</v>
      </c>
      <c r="S16" s="24" t="s">
        <v>66</v>
      </c>
      <c r="T16" s="24" t="s">
        <v>66</v>
      </c>
      <c r="U16" s="24" t="s">
        <v>66</v>
      </c>
      <c r="V16" s="24" t="s">
        <v>66</v>
      </c>
      <c r="W16" s="24" t="s">
        <v>65</v>
      </c>
      <c r="X16" s="24" t="s">
        <v>66</v>
      </c>
      <c r="Y16" s="24" t="s">
        <v>66</v>
      </c>
      <c r="Z16" s="24" t="s">
        <v>65</v>
      </c>
      <c r="AA16" s="24" t="s">
        <v>65</v>
      </c>
      <c r="AB16" s="24" t="s">
        <v>66</v>
      </c>
      <c r="AC16" s="24" t="s">
        <v>66</v>
      </c>
      <c r="AD16" s="24" t="s">
        <v>65</v>
      </c>
      <c r="AE16" s="24" t="s">
        <v>67</v>
      </c>
      <c r="AF16" s="24" t="s">
        <v>65</v>
      </c>
      <c r="AG16" s="24" t="s">
        <v>65</v>
      </c>
      <c r="AH16" s="24" t="s">
        <v>66</v>
      </c>
      <c r="AI16" s="24" t="s">
        <v>66</v>
      </c>
      <c r="AJ16" s="24" t="s">
        <v>68</v>
      </c>
      <c r="AK16" s="24" t="s">
        <v>68</v>
      </c>
      <c r="AL16" s="24" t="s">
        <v>66</v>
      </c>
      <c r="AM16" s="24" t="s">
        <v>66</v>
      </c>
      <c r="AN16" s="24" t="s">
        <v>66</v>
      </c>
      <c r="AO16" s="24" t="s">
        <v>68</v>
      </c>
      <c r="AP16" s="24" t="s">
        <v>65</v>
      </c>
    </row>
    <row r="17">
      <c r="A17" s="23" t="s">
        <v>106</v>
      </c>
      <c r="B17" s="24" t="s">
        <v>107</v>
      </c>
      <c r="C17" s="24" t="s">
        <v>108</v>
      </c>
      <c r="D17" s="25">
        <v>3.0</v>
      </c>
      <c r="E17" s="25">
        <v>1.0</v>
      </c>
      <c r="F17" s="25">
        <v>2.0</v>
      </c>
      <c r="G17" s="25">
        <v>1.0</v>
      </c>
      <c r="H17" s="24" t="s">
        <v>66</v>
      </c>
      <c r="I17" s="24" t="s">
        <v>66</v>
      </c>
      <c r="J17" s="24" t="s">
        <v>66</v>
      </c>
      <c r="K17" s="24" t="s">
        <v>66</v>
      </c>
      <c r="L17" s="24" t="s">
        <v>66</v>
      </c>
      <c r="M17" s="24" t="s">
        <v>66</v>
      </c>
      <c r="N17" s="24" t="s">
        <v>66</v>
      </c>
      <c r="O17" s="24" t="s">
        <v>66</v>
      </c>
      <c r="P17" s="24" t="s">
        <v>66</v>
      </c>
      <c r="Q17" s="24" t="s">
        <v>66</v>
      </c>
      <c r="R17" s="24" t="s">
        <v>66</v>
      </c>
      <c r="S17" s="24" t="s">
        <v>66</v>
      </c>
      <c r="T17" s="24" t="s">
        <v>66</v>
      </c>
      <c r="U17" s="24" t="s">
        <v>66</v>
      </c>
      <c r="V17" s="24" t="s">
        <v>66</v>
      </c>
      <c r="W17" s="24" t="s">
        <v>66</v>
      </c>
      <c r="X17" s="24" t="s">
        <v>66</v>
      </c>
      <c r="Y17" s="24" t="s">
        <v>66</v>
      </c>
      <c r="Z17" s="24" t="s">
        <v>66</v>
      </c>
      <c r="AA17" s="24" t="s">
        <v>66</v>
      </c>
      <c r="AB17" s="24" t="s">
        <v>66</v>
      </c>
      <c r="AC17" s="24" t="s">
        <v>66</v>
      </c>
      <c r="AD17" s="24" t="s">
        <v>67</v>
      </c>
      <c r="AE17" s="24" t="s">
        <v>66</v>
      </c>
      <c r="AF17" s="24" t="s">
        <v>66</v>
      </c>
      <c r="AG17" s="24" t="s">
        <v>65</v>
      </c>
      <c r="AH17" s="24" t="s">
        <v>66</v>
      </c>
      <c r="AI17" s="24" t="s">
        <v>66</v>
      </c>
      <c r="AJ17" s="24" t="s">
        <v>68</v>
      </c>
      <c r="AK17" s="24" t="s">
        <v>66</v>
      </c>
      <c r="AL17" s="24" t="s">
        <v>66</v>
      </c>
      <c r="AM17" s="24" t="s">
        <v>66</v>
      </c>
      <c r="AN17" s="24" t="s">
        <v>66</v>
      </c>
      <c r="AO17" s="24" t="s">
        <v>66</v>
      </c>
      <c r="AP17" s="24" t="s">
        <v>66</v>
      </c>
    </row>
    <row r="18">
      <c r="A18" s="23" t="s">
        <v>109</v>
      </c>
      <c r="B18" s="24" t="s">
        <v>110</v>
      </c>
      <c r="C18" s="24" t="s">
        <v>111</v>
      </c>
      <c r="D18" s="25">
        <v>12.0</v>
      </c>
      <c r="E18" s="25">
        <v>1.0</v>
      </c>
      <c r="F18" s="25">
        <v>12.0</v>
      </c>
      <c r="G18" s="25">
        <v>0.0</v>
      </c>
      <c r="H18" s="24" t="s">
        <v>65</v>
      </c>
      <c r="I18" s="24" t="s">
        <v>65</v>
      </c>
      <c r="J18" s="24" t="s">
        <v>65</v>
      </c>
      <c r="K18" s="24" t="s">
        <v>65</v>
      </c>
      <c r="L18" s="24" t="s">
        <v>66</v>
      </c>
      <c r="M18" s="24" t="s">
        <v>65</v>
      </c>
      <c r="N18" s="24" t="s">
        <v>65</v>
      </c>
      <c r="O18" s="24" t="s">
        <v>66</v>
      </c>
      <c r="P18" s="24" t="s">
        <v>66</v>
      </c>
      <c r="Q18" s="24" t="s">
        <v>66</v>
      </c>
      <c r="R18" s="24" t="s">
        <v>66</v>
      </c>
      <c r="S18" s="24" t="s">
        <v>66</v>
      </c>
      <c r="T18" s="24" t="s">
        <v>66</v>
      </c>
      <c r="U18" s="24" t="s">
        <v>66</v>
      </c>
      <c r="V18" s="24" t="s">
        <v>66</v>
      </c>
      <c r="W18" s="24" t="s">
        <v>66</v>
      </c>
      <c r="X18" s="24" t="s">
        <v>66</v>
      </c>
      <c r="Y18" s="24" t="s">
        <v>66</v>
      </c>
      <c r="Z18" s="24" t="s">
        <v>65</v>
      </c>
      <c r="AA18" s="24" t="s">
        <v>66</v>
      </c>
      <c r="AB18" s="24" t="s">
        <v>66</v>
      </c>
      <c r="AC18" s="24" t="s">
        <v>66</v>
      </c>
      <c r="AD18" s="24" t="s">
        <v>67</v>
      </c>
      <c r="AE18" s="24" t="s">
        <v>65</v>
      </c>
      <c r="AF18" s="24" t="s">
        <v>66</v>
      </c>
      <c r="AG18" s="24" t="s">
        <v>65</v>
      </c>
      <c r="AH18" s="24" t="s">
        <v>66</v>
      </c>
      <c r="AI18" s="24" t="s">
        <v>66</v>
      </c>
      <c r="AJ18" s="24" t="s">
        <v>65</v>
      </c>
      <c r="AK18" s="24" t="s">
        <v>65</v>
      </c>
      <c r="AL18" s="24" t="s">
        <v>66</v>
      </c>
      <c r="AM18" s="24" t="s">
        <v>66</v>
      </c>
      <c r="AN18" s="24" t="s">
        <v>66</v>
      </c>
      <c r="AO18" s="24" t="s">
        <v>66</v>
      </c>
      <c r="AP18" s="24" t="s">
        <v>66</v>
      </c>
    </row>
    <row r="19">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row>
    <row r="20">
      <c r="A20" s="27" t="s">
        <v>112</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row>
    <row r="21">
      <c r="A21" s="26" t="s">
        <v>113</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row>
    <row r="22">
      <c r="A22" s="26"/>
      <c r="B22" s="26"/>
      <c r="C22" s="26"/>
      <c r="D22" s="26"/>
      <c r="E22" s="26"/>
      <c r="F22" s="28"/>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row>
  </sheetData>
  <mergeCells count="11">
    <mergeCell ref="AD2:AE2"/>
    <mergeCell ref="AG2:AI2"/>
    <mergeCell ref="AJ2:AL2"/>
    <mergeCell ref="AN2:AO2"/>
    <mergeCell ref="A1:AP1"/>
    <mergeCell ref="H2:L2"/>
    <mergeCell ref="M2:N2"/>
    <mergeCell ref="O2:Q2"/>
    <mergeCell ref="R2:S2"/>
    <mergeCell ref="V2:AA2"/>
    <mergeCell ref="AB2:AC2"/>
  </mergeCells>
  <hyperlinks>
    <hyperlink r:id="rId1" ref="A1"/>
    <hyperlink r:id="rId2" ref="A4"/>
    <hyperlink r:id="rId3" ref="A5"/>
    <hyperlink r:id="rId4" ref="A6"/>
    <hyperlink r:id="rId5" ref="A7"/>
    <hyperlink r:id="rId6" ref="A8"/>
    <hyperlink r:id="rId7" ref="A9"/>
    <hyperlink r:id="rId8" ref="A10"/>
    <hyperlink r:id="rId9" ref="A11"/>
    <hyperlink r:id="rId10" ref="A12"/>
    <hyperlink r:id="rId11" ref="A13"/>
    <hyperlink r:id="rId12" ref="A14"/>
    <hyperlink r:id="rId13" ref="A15"/>
    <hyperlink r:id="rId14" ref="A16"/>
    <hyperlink r:id="rId15" ref="A17"/>
    <hyperlink r:id="rId16" ref="A18"/>
  </hyperlinks>
  <drawing r:id="rId1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38"/>
    <col customWidth="1" min="2" max="2" width="30.88"/>
    <col customWidth="1" min="3" max="3" width="24.13"/>
    <col customWidth="1" min="4" max="4" width="12.88"/>
    <col customWidth="1" min="5" max="5" width="31.63"/>
    <col customWidth="1" min="7" max="7" width="23.13"/>
    <col customWidth="1" min="9" max="9" width="31.63"/>
    <col customWidth="1" min="10" max="10" width="13.88"/>
    <col customWidth="1" min="27" max="27" width="14.88"/>
    <col customWidth="1" min="33" max="33" width="14.5"/>
    <col customWidth="1" min="34" max="34" width="13.25"/>
  </cols>
  <sheetData>
    <row r="1">
      <c r="A1" s="14" t="s">
        <v>114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6"/>
    </row>
    <row r="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row>
    <row r="3">
      <c r="A3" s="27" t="s">
        <v>115</v>
      </c>
      <c r="B3" s="29" t="s">
        <v>116</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row>
    <row r="4">
      <c r="A4" s="26"/>
      <c r="B4" s="30" t="s">
        <v>117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row>
    <row r="5">
      <c r="A5" s="26"/>
      <c r="B5" s="31" t="s">
        <v>118</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row>
    <row r="6">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row>
    <row r="7">
      <c r="A7" s="32" t="s">
        <v>22</v>
      </c>
      <c r="B7" s="32" t="s">
        <v>23</v>
      </c>
      <c r="C7" s="32" t="s">
        <v>24</v>
      </c>
      <c r="D7" s="33" t="s">
        <v>119</v>
      </c>
      <c r="E7" s="33" t="s">
        <v>120</v>
      </c>
      <c r="F7" s="33" t="s">
        <v>121</v>
      </c>
      <c r="G7" s="33" t="s">
        <v>122</v>
      </c>
      <c r="H7" s="33" t="s">
        <v>123</v>
      </c>
      <c r="I7" s="34" t="s">
        <v>124</v>
      </c>
      <c r="J7" s="32" t="s">
        <v>26</v>
      </c>
      <c r="K7" s="32" t="s">
        <v>27</v>
      </c>
      <c r="L7" s="32" t="s">
        <v>28</v>
      </c>
      <c r="M7" s="17" t="s">
        <v>7</v>
      </c>
      <c r="N7" s="15"/>
      <c r="O7" s="15"/>
      <c r="P7" s="15"/>
      <c r="Q7" s="16"/>
      <c r="R7" s="17" t="s">
        <v>8</v>
      </c>
      <c r="S7" s="16"/>
      <c r="T7" s="18" t="s">
        <v>9</v>
      </c>
      <c r="U7" s="15"/>
      <c r="V7" s="16"/>
      <c r="W7" s="18" t="s">
        <v>10</v>
      </c>
      <c r="X7" s="16"/>
      <c r="Y7" s="19" t="s">
        <v>11</v>
      </c>
      <c r="Z7" s="19" t="s">
        <v>12</v>
      </c>
      <c r="AA7" s="18" t="s">
        <v>13</v>
      </c>
      <c r="AB7" s="15"/>
      <c r="AC7" s="15"/>
      <c r="AD7" s="15"/>
      <c r="AE7" s="15"/>
      <c r="AF7" s="16"/>
      <c r="AG7" s="19" t="s">
        <v>47</v>
      </c>
      <c r="AH7" s="19" t="s">
        <v>48</v>
      </c>
      <c r="AI7" s="18" t="s">
        <v>15</v>
      </c>
      <c r="AJ7" s="16"/>
      <c r="AK7" s="19" t="s">
        <v>16</v>
      </c>
      <c r="AL7" s="18" t="s">
        <v>17</v>
      </c>
      <c r="AM7" s="15"/>
      <c r="AN7" s="16"/>
      <c r="AO7" s="18" t="s">
        <v>18</v>
      </c>
      <c r="AP7" s="15"/>
      <c r="AQ7" s="15"/>
      <c r="AR7" s="35" t="s">
        <v>19</v>
      </c>
      <c r="AS7" s="17" t="s">
        <v>20</v>
      </c>
      <c r="AT7" s="16"/>
      <c r="AU7" s="19" t="s">
        <v>21</v>
      </c>
    </row>
    <row r="8">
      <c r="A8" s="36"/>
      <c r="B8" s="36"/>
      <c r="C8" s="36"/>
      <c r="D8" s="36"/>
      <c r="E8" s="36"/>
      <c r="F8" s="36"/>
      <c r="G8" s="36"/>
      <c r="H8" s="36"/>
      <c r="I8" s="36"/>
      <c r="J8" s="36"/>
      <c r="K8" s="36"/>
      <c r="L8" s="36"/>
      <c r="M8" s="21" t="s">
        <v>29</v>
      </c>
      <c r="N8" s="21" t="s">
        <v>30</v>
      </c>
      <c r="O8" s="21" t="s">
        <v>31</v>
      </c>
      <c r="P8" s="21" t="s">
        <v>32</v>
      </c>
      <c r="Q8" s="21" t="s">
        <v>33</v>
      </c>
      <c r="R8" s="37" t="s">
        <v>34</v>
      </c>
      <c r="S8" s="37" t="s">
        <v>35</v>
      </c>
      <c r="T8" s="21" t="s">
        <v>36</v>
      </c>
      <c r="U8" s="21" t="s">
        <v>37</v>
      </c>
      <c r="V8" s="21" t="s">
        <v>38</v>
      </c>
      <c r="W8" s="21" t="s">
        <v>39</v>
      </c>
      <c r="X8" s="21" t="s">
        <v>40</v>
      </c>
      <c r="Y8" s="21" t="s">
        <v>11</v>
      </c>
      <c r="Z8" s="21" t="s">
        <v>12</v>
      </c>
      <c r="AA8" s="21" t="s">
        <v>41</v>
      </c>
      <c r="AB8" s="21" t="s">
        <v>42</v>
      </c>
      <c r="AC8" s="21" t="s">
        <v>43</v>
      </c>
      <c r="AD8" s="21" t="s">
        <v>44</v>
      </c>
      <c r="AE8" s="21" t="s">
        <v>45</v>
      </c>
      <c r="AF8" s="21" t="s">
        <v>46</v>
      </c>
      <c r="AG8" s="21" t="s">
        <v>47</v>
      </c>
      <c r="AH8" s="21" t="s">
        <v>48</v>
      </c>
      <c r="AI8" s="21" t="s">
        <v>49</v>
      </c>
      <c r="AJ8" s="21" t="s">
        <v>50</v>
      </c>
      <c r="AK8" s="21" t="s">
        <v>51</v>
      </c>
      <c r="AL8" s="21" t="s">
        <v>52</v>
      </c>
      <c r="AM8" s="21" t="s">
        <v>53</v>
      </c>
      <c r="AN8" s="21" t="s">
        <v>54</v>
      </c>
      <c r="AO8" s="21" t="s">
        <v>55</v>
      </c>
      <c r="AP8" s="21" t="s">
        <v>56</v>
      </c>
      <c r="AQ8" s="21" t="s">
        <v>60</v>
      </c>
      <c r="AR8" s="21" t="s">
        <v>57</v>
      </c>
      <c r="AS8" s="21" t="s">
        <v>58</v>
      </c>
      <c r="AT8" s="21" t="s">
        <v>59</v>
      </c>
      <c r="AU8" s="21" t="s">
        <v>61</v>
      </c>
    </row>
    <row r="9">
      <c r="A9" s="38" t="s">
        <v>125</v>
      </c>
      <c r="B9" s="39" t="s">
        <v>126</v>
      </c>
      <c r="C9" s="39" t="s">
        <v>127</v>
      </c>
      <c r="D9" s="39" t="s">
        <v>128</v>
      </c>
      <c r="E9" s="39" t="s">
        <v>129</v>
      </c>
      <c r="F9" s="39" t="s">
        <v>130</v>
      </c>
      <c r="G9" s="39" t="s">
        <v>131</v>
      </c>
      <c r="H9" s="39" t="s">
        <v>131</v>
      </c>
      <c r="I9" s="39">
        <v>10.0</v>
      </c>
      <c r="J9" s="39">
        <v>2.0</v>
      </c>
      <c r="K9" s="39">
        <v>9.0</v>
      </c>
      <c r="L9" s="39">
        <v>1.0</v>
      </c>
      <c r="M9" s="40"/>
      <c r="N9" s="39" t="s">
        <v>65</v>
      </c>
      <c r="R9" s="39" t="s">
        <v>65</v>
      </c>
      <c r="S9" s="39" t="s">
        <v>65</v>
      </c>
      <c r="AE9" s="39" t="s">
        <v>65</v>
      </c>
      <c r="AI9" s="39" t="s">
        <v>65</v>
      </c>
      <c r="AJ9" s="39" t="s">
        <v>67</v>
      </c>
      <c r="AL9" s="39" t="s">
        <v>65</v>
      </c>
      <c r="AM9" s="39" t="s">
        <v>67</v>
      </c>
      <c r="AO9" s="39" t="s">
        <v>65</v>
      </c>
      <c r="AQ9" s="39" t="s">
        <v>68</v>
      </c>
    </row>
    <row r="10">
      <c r="A10" s="38" t="s">
        <v>132</v>
      </c>
      <c r="B10" s="30" t="s">
        <v>133</v>
      </c>
      <c r="C10" s="39" t="s">
        <v>134</v>
      </c>
      <c r="D10" s="39" t="s">
        <v>135</v>
      </c>
      <c r="E10" s="39" t="s">
        <v>136</v>
      </c>
      <c r="F10" s="39" t="s">
        <v>131</v>
      </c>
      <c r="G10" s="39" t="s">
        <v>131</v>
      </c>
      <c r="H10" s="39" t="s">
        <v>131</v>
      </c>
      <c r="I10" s="41">
        <v>14.0</v>
      </c>
      <c r="J10" s="41">
        <v>4.0</v>
      </c>
      <c r="K10" s="39">
        <v>14.0</v>
      </c>
      <c r="L10" s="39">
        <v>0.0</v>
      </c>
      <c r="M10" s="42" t="s">
        <v>65</v>
      </c>
      <c r="N10" s="39" t="s">
        <v>67</v>
      </c>
      <c r="R10" s="39" t="s">
        <v>65</v>
      </c>
      <c r="S10" s="39" t="s">
        <v>65</v>
      </c>
      <c r="Y10" s="39" t="s">
        <v>65</v>
      </c>
      <c r="AB10" s="39" t="s">
        <v>65</v>
      </c>
      <c r="AE10" s="39" t="s">
        <v>65</v>
      </c>
      <c r="AI10" s="39" t="s">
        <v>65</v>
      </c>
      <c r="AJ10" s="39" t="s">
        <v>67</v>
      </c>
      <c r="AL10" s="39" t="s">
        <v>67</v>
      </c>
      <c r="AM10" s="39" t="s">
        <v>67</v>
      </c>
      <c r="AO10" s="39" t="s">
        <v>65</v>
      </c>
      <c r="AP10" s="39" t="s">
        <v>65</v>
      </c>
      <c r="AQ10" s="39" t="s">
        <v>65</v>
      </c>
    </row>
    <row r="11">
      <c r="A11" s="38" t="s">
        <v>137</v>
      </c>
      <c r="B11" s="41" t="s">
        <v>138</v>
      </c>
      <c r="C11" s="39" t="s">
        <v>139</v>
      </c>
      <c r="D11" s="39" t="s">
        <v>140</v>
      </c>
      <c r="E11" s="39" t="s">
        <v>131</v>
      </c>
      <c r="F11" s="39" t="s">
        <v>141</v>
      </c>
      <c r="G11" s="39" t="s">
        <v>131</v>
      </c>
      <c r="H11" s="39" t="s">
        <v>131</v>
      </c>
      <c r="I11" s="39">
        <v>11.0</v>
      </c>
      <c r="J11" s="39">
        <v>5.0</v>
      </c>
      <c r="K11" s="39">
        <v>0.0</v>
      </c>
      <c r="L11" s="39">
        <v>11.0</v>
      </c>
      <c r="M11" s="40"/>
      <c r="R11" s="39" t="s">
        <v>68</v>
      </c>
      <c r="S11" s="39" t="s">
        <v>68</v>
      </c>
      <c r="AF11" s="39" t="s">
        <v>68</v>
      </c>
      <c r="AI11" s="39" t="s">
        <v>68</v>
      </c>
      <c r="AJ11" s="39" t="s">
        <v>75</v>
      </c>
      <c r="AK11" s="39" t="s">
        <v>75</v>
      </c>
      <c r="AL11" s="39" t="s">
        <v>68</v>
      </c>
      <c r="AM11" s="39" t="s">
        <v>75</v>
      </c>
      <c r="AN11" s="39" t="s">
        <v>75</v>
      </c>
      <c r="AO11" s="39" t="s">
        <v>68</v>
      </c>
      <c r="AU11" s="41" t="s">
        <v>75</v>
      </c>
    </row>
    <row r="12">
      <c r="A12" s="38" t="s">
        <v>142</v>
      </c>
      <c r="B12" s="41" t="s">
        <v>143</v>
      </c>
      <c r="C12" s="39" t="s">
        <v>144</v>
      </c>
      <c r="D12" s="39" t="s">
        <v>145</v>
      </c>
      <c r="E12" s="39" t="s">
        <v>146</v>
      </c>
      <c r="F12" s="39" t="s">
        <v>131</v>
      </c>
      <c r="G12" s="39" t="s">
        <v>131</v>
      </c>
      <c r="H12" s="39" t="s">
        <v>131</v>
      </c>
      <c r="I12" s="39">
        <v>11.0</v>
      </c>
      <c r="J12" s="39">
        <v>5.0</v>
      </c>
      <c r="K12" s="39">
        <v>11.0</v>
      </c>
      <c r="L12" s="39">
        <v>0.0</v>
      </c>
      <c r="M12" s="40"/>
      <c r="R12" s="39" t="s">
        <v>65</v>
      </c>
      <c r="Y12" s="39" t="s">
        <v>65</v>
      </c>
      <c r="AE12" s="39" t="s">
        <v>65</v>
      </c>
      <c r="AI12" s="39" t="s">
        <v>67</v>
      </c>
      <c r="AJ12" s="39" t="s">
        <v>67</v>
      </c>
      <c r="AL12" s="39" t="s">
        <v>67</v>
      </c>
      <c r="AM12" s="39" t="s">
        <v>65</v>
      </c>
      <c r="AN12" s="39" t="s">
        <v>67</v>
      </c>
      <c r="AO12" s="39" t="s">
        <v>65</v>
      </c>
      <c r="AP12" s="39" t="s">
        <v>65</v>
      </c>
      <c r="AU12" s="41" t="s">
        <v>67</v>
      </c>
    </row>
    <row r="13">
      <c r="A13" s="38" t="s">
        <v>147</v>
      </c>
      <c r="B13" s="39" t="s">
        <v>148</v>
      </c>
      <c r="C13" s="39" t="s">
        <v>149</v>
      </c>
      <c r="D13" s="39" t="s">
        <v>150</v>
      </c>
      <c r="E13" s="39" t="s">
        <v>151</v>
      </c>
      <c r="F13" s="39" t="s">
        <v>152</v>
      </c>
      <c r="G13" s="39" t="s">
        <v>131</v>
      </c>
      <c r="H13" s="39" t="s">
        <v>131</v>
      </c>
      <c r="I13" s="39">
        <v>9.0</v>
      </c>
      <c r="J13" s="39">
        <v>1.0</v>
      </c>
      <c r="K13" s="39">
        <v>7.0</v>
      </c>
      <c r="L13" s="39">
        <v>2.0</v>
      </c>
      <c r="M13" s="42" t="s">
        <v>65</v>
      </c>
      <c r="N13" s="39" t="s">
        <v>65</v>
      </c>
      <c r="R13" s="39" t="s">
        <v>65</v>
      </c>
      <c r="S13" s="39" t="s">
        <v>65</v>
      </c>
      <c r="AF13" s="39" t="s">
        <v>65</v>
      </c>
      <c r="AI13" s="39" t="s">
        <v>67</v>
      </c>
      <c r="AK13" s="39" t="s">
        <v>65</v>
      </c>
      <c r="AL13" s="39" t="s">
        <v>68</v>
      </c>
      <c r="AO13" s="39" t="s">
        <v>68</v>
      </c>
    </row>
    <row r="14">
      <c r="A14" s="38" t="s">
        <v>153</v>
      </c>
      <c r="B14" s="39" t="s">
        <v>154</v>
      </c>
      <c r="C14" s="39" t="s">
        <v>155</v>
      </c>
      <c r="D14" s="39" t="s">
        <v>156</v>
      </c>
      <c r="E14" s="39" t="s">
        <v>157</v>
      </c>
      <c r="F14" s="39" t="s">
        <v>158</v>
      </c>
      <c r="G14" s="39" t="s">
        <v>131</v>
      </c>
      <c r="H14" s="39" t="s">
        <v>131</v>
      </c>
      <c r="I14" s="39">
        <v>8.0</v>
      </c>
      <c r="J14" s="39">
        <v>1.0</v>
      </c>
      <c r="K14" s="39">
        <v>2.0</v>
      </c>
      <c r="L14" s="39">
        <v>6.0</v>
      </c>
      <c r="M14" s="40"/>
      <c r="R14" s="39" t="s">
        <v>68</v>
      </c>
      <c r="X14" s="39" t="s">
        <v>68</v>
      </c>
      <c r="AI14" s="39" t="s">
        <v>65</v>
      </c>
      <c r="AJ14" s="39" t="s">
        <v>67</v>
      </c>
      <c r="AL14" s="39" t="s">
        <v>68</v>
      </c>
      <c r="AN14" s="39" t="s">
        <v>68</v>
      </c>
      <c r="AO14" s="39" t="s">
        <v>68</v>
      </c>
      <c r="AP14" s="39" t="s">
        <v>68</v>
      </c>
    </row>
    <row r="15">
      <c r="A15" s="38" t="s">
        <v>159</v>
      </c>
      <c r="B15" s="39" t="s">
        <v>160</v>
      </c>
      <c r="C15" s="39" t="s">
        <v>161</v>
      </c>
      <c r="D15" s="39" t="s">
        <v>162</v>
      </c>
      <c r="E15" s="39" t="s">
        <v>163</v>
      </c>
      <c r="F15" s="39" t="s">
        <v>164</v>
      </c>
      <c r="G15" s="39" t="s">
        <v>131</v>
      </c>
      <c r="H15" s="39" t="s">
        <v>131</v>
      </c>
      <c r="I15" s="39">
        <v>17.0</v>
      </c>
      <c r="J15" s="39">
        <v>3.0</v>
      </c>
      <c r="K15" s="39">
        <v>10.0</v>
      </c>
      <c r="L15" s="39">
        <v>7.0</v>
      </c>
      <c r="M15" s="40"/>
      <c r="N15" s="39" t="s">
        <v>67</v>
      </c>
      <c r="O15" s="39" t="s">
        <v>65</v>
      </c>
      <c r="R15" s="39" t="s">
        <v>65</v>
      </c>
      <c r="S15" s="39" t="s">
        <v>65</v>
      </c>
      <c r="Y15" s="39" t="s">
        <v>65</v>
      </c>
      <c r="AB15" s="39" t="s">
        <v>65</v>
      </c>
      <c r="AE15" s="39" t="s">
        <v>65</v>
      </c>
      <c r="AF15" s="39" t="s">
        <v>65</v>
      </c>
      <c r="AH15" s="39" t="s">
        <v>68</v>
      </c>
      <c r="AI15" s="39" t="s">
        <v>65</v>
      </c>
      <c r="AJ15" s="39" t="s">
        <v>75</v>
      </c>
      <c r="AL15" s="39" t="s">
        <v>68</v>
      </c>
      <c r="AM15" s="39" t="s">
        <v>75</v>
      </c>
      <c r="AN15" s="39" t="s">
        <v>65</v>
      </c>
      <c r="AO15" s="39" t="s">
        <v>68</v>
      </c>
      <c r="AP15" s="39" t="s">
        <v>68</v>
      </c>
      <c r="AQ15" s="39" t="s">
        <v>68</v>
      </c>
    </row>
    <row r="16">
      <c r="A16" s="38" t="s">
        <v>165</v>
      </c>
      <c r="B16" s="30" t="s">
        <v>166</v>
      </c>
      <c r="C16" s="39" t="s">
        <v>167</v>
      </c>
      <c r="D16" s="39" t="s">
        <v>168</v>
      </c>
      <c r="E16" s="39" t="s">
        <v>169</v>
      </c>
      <c r="F16" s="39" t="s">
        <v>131</v>
      </c>
      <c r="G16" s="39" t="s">
        <v>131</v>
      </c>
      <c r="H16" s="39" t="s">
        <v>131</v>
      </c>
      <c r="I16" s="41">
        <v>16.0</v>
      </c>
      <c r="J16" s="41">
        <v>6.0</v>
      </c>
      <c r="K16" s="39">
        <v>16.0</v>
      </c>
      <c r="L16" s="39">
        <v>0.0</v>
      </c>
      <c r="M16" s="42" t="s">
        <v>65</v>
      </c>
      <c r="N16" s="39" t="s">
        <v>67</v>
      </c>
      <c r="R16" s="39" t="s">
        <v>65</v>
      </c>
      <c r="S16" s="39" t="s">
        <v>65</v>
      </c>
      <c r="X16" s="39" t="s">
        <v>67</v>
      </c>
      <c r="AA16" s="39" t="s">
        <v>65</v>
      </c>
      <c r="AB16" s="39" t="s">
        <v>65</v>
      </c>
      <c r="AE16" s="39" t="s">
        <v>65</v>
      </c>
      <c r="AI16" s="39" t="s">
        <v>67</v>
      </c>
      <c r="AJ16" s="39" t="s">
        <v>67</v>
      </c>
      <c r="AK16" s="39" t="s">
        <v>67</v>
      </c>
      <c r="AL16" s="39" t="s">
        <v>65</v>
      </c>
      <c r="AN16" s="39" t="s">
        <v>67</v>
      </c>
      <c r="AO16" s="39" t="s">
        <v>65</v>
      </c>
      <c r="AP16" s="39" t="s">
        <v>65</v>
      </c>
      <c r="AQ16" s="39" t="s">
        <v>65</v>
      </c>
    </row>
    <row r="17">
      <c r="A17" s="38" t="s">
        <v>170</v>
      </c>
      <c r="B17" s="39" t="s">
        <v>171</v>
      </c>
      <c r="C17" s="39" t="s">
        <v>172</v>
      </c>
      <c r="D17" s="39" t="s">
        <v>150</v>
      </c>
      <c r="E17" s="39" t="s">
        <v>173</v>
      </c>
      <c r="F17" s="39" t="s">
        <v>174</v>
      </c>
      <c r="G17" s="39" t="s">
        <v>131</v>
      </c>
      <c r="H17" s="39" t="s">
        <v>131</v>
      </c>
      <c r="I17" s="39">
        <v>13.0</v>
      </c>
      <c r="J17" s="39">
        <v>1.0</v>
      </c>
      <c r="K17" s="39">
        <v>10.0</v>
      </c>
      <c r="L17" s="39">
        <v>3.0</v>
      </c>
      <c r="M17" s="42" t="s">
        <v>65</v>
      </c>
      <c r="N17" s="39" t="s">
        <v>65</v>
      </c>
      <c r="R17" s="39" t="s">
        <v>65</v>
      </c>
      <c r="S17" s="39" t="s">
        <v>65</v>
      </c>
      <c r="AB17" s="39" t="s">
        <v>65</v>
      </c>
      <c r="AE17" s="39" t="s">
        <v>65</v>
      </c>
      <c r="AI17" s="39" t="s">
        <v>67</v>
      </c>
      <c r="AJ17" s="39" t="s">
        <v>65</v>
      </c>
      <c r="AK17" s="39" t="s">
        <v>65</v>
      </c>
      <c r="AL17" s="39" t="s">
        <v>65</v>
      </c>
      <c r="AO17" s="39" t="s">
        <v>68</v>
      </c>
      <c r="AP17" s="39" t="s">
        <v>68</v>
      </c>
      <c r="AQ17" s="39" t="s">
        <v>68</v>
      </c>
    </row>
    <row r="18">
      <c r="A18" s="38" t="s">
        <v>175</v>
      </c>
      <c r="B18" s="30" t="s">
        <v>176</v>
      </c>
      <c r="C18" s="39" t="s">
        <v>177</v>
      </c>
      <c r="D18" s="39" t="s">
        <v>178</v>
      </c>
      <c r="E18" s="39" t="s">
        <v>179</v>
      </c>
      <c r="F18" s="39" t="s">
        <v>180</v>
      </c>
      <c r="G18" s="39" t="s">
        <v>131</v>
      </c>
      <c r="H18" s="39" t="s">
        <v>131</v>
      </c>
      <c r="I18" s="41">
        <v>22.0</v>
      </c>
      <c r="J18" s="41">
        <v>7.0</v>
      </c>
      <c r="K18" s="39">
        <v>20.0</v>
      </c>
      <c r="L18" s="39">
        <v>2.0</v>
      </c>
      <c r="M18" s="42" t="s">
        <v>65</v>
      </c>
      <c r="N18" s="39" t="s">
        <v>65</v>
      </c>
      <c r="O18" s="39" t="s">
        <v>68</v>
      </c>
      <c r="P18" s="39" t="s">
        <v>65</v>
      </c>
      <c r="R18" s="39" t="s">
        <v>65</v>
      </c>
      <c r="S18" s="39" t="s">
        <v>65</v>
      </c>
      <c r="T18" s="39" t="s">
        <v>67</v>
      </c>
      <c r="X18" s="39" t="s">
        <v>67</v>
      </c>
      <c r="Y18" s="39" t="s">
        <v>67</v>
      </c>
      <c r="AA18" s="39" t="s">
        <v>65</v>
      </c>
      <c r="AB18" s="39" t="s">
        <v>67</v>
      </c>
      <c r="AE18" s="39" t="s">
        <v>65</v>
      </c>
      <c r="AF18" s="39" t="s">
        <v>65</v>
      </c>
      <c r="AI18" s="39" t="s">
        <v>67</v>
      </c>
      <c r="AJ18" s="39" t="s">
        <v>67</v>
      </c>
      <c r="AK18" s="39" t="s">
        <v>67</v>
      </c>
      <c r="AL18" s="39" t="s">
        <v>65</v>
      </c>
      <c r="AO18" s="39" t="s">
        <v>68</v>
      </c>
      <c r="AP18" s="39" t="s">
        <v>65</v>
      </c>
      <c r="AQ18" s="39" t="s">
        <v>65</v>
      </c>
      <c r="AR18" s="39" t="s">
        <v>65</v>
      </c>
      <c r="AU18" s="39" t="s">
        <v>65</v>
      </c>
    </row>
    <row r="19">
      <c r="A19" s="38" t="s">
        <v>181</v>
      </c>
      <c r="B19" s="39" t="s">
        <v>182</v>
      </c>
      <c r="C19" s="39" t="s">
        <v>183</v>
      </c>
      <c r="D19" s="39" t="s">
        <v>156</v>
      </c>
      <c r="E19" s="39" t="s">
        <v>184</v>
      </c>
      <c r="F19" s="39" t="s">
        <v>185</v>
      </c>
      <c r="G19" s="39" t="s">
        <v>131</v>
      </c>
      <c r="H19" s="39" t="s">
        <v>131</v>
      </c>
      <c r="I19" s="39">
        <v>7.0</v>
      </c>
      <c r="J19" s="39">
        <v>1.0</v>
      </c>
      <c r="K19" s="39">
        <v>3.0</v>
      </c>
      <c r="L19" s="39">
        <v>4.0</v>
      </c>
      <c r="M19" s="42" t="s">
        <v>68</v>
      </c>
      <c r="N19" s="39" t="s">
        <v>65</v>
      </c>
      <c r="R19" s="39" t="s">
        <v>65</v>
      </c>
      <c r="AI19" s="39" t="s">
        <v>65</v>
      </c>
      <c r="AJ19" s="39" t="s">
        <v>75</v>
      </c>
      <c r="AL19" s="39" t="s">
        <v>68</v>
      </c>
      <c r="AO19" s="39" t="s">
        <v>68</v>
      </c>
    </row>
    <row r="20">
      <c r="A20" s="38" t="s">
        <v>186</v>
      </c>
      <c r="B20" s="30" t="s">
        <v>187</v>
      </c>
      <c r="C20" s="39" t="s">
        <v>188</v>
      </c>
      <c r="D20" s="39" t="s">
        <v>189</v>
      </c>
      <c r="E20" s="39" t="s">
        <v>190</v>
      </c>
      <c r="F20" s="39" t="s">
        <v>131</v>
      </c>
      <c r="G20" s="39" t="s">
        <v>131</v>
      </c>
      <c r="H20" s="39" t="s">
        <v>131</v>
      </c>
      <c r="I20" s="41">
        <v>13.0</v>
      </c>
      <c r="J20" s="41">
        <v>4.0</v>
      </c>
      <c r="K20" s="39">
        <v>13.0</v>
      </c>
      <c r="L20" s="39">
        <v>0.0</v>
      </c>
      <c r="M20" s="42" t="s">
        <v>65</v>
      </c>
      <c r="N20" s="39" t="s">
        <v>67</v>
      </c>
      <c r="O20" s="39" t="s">
        <v>65</v>
      </c>
      <c r="P20" s="39" t="s">
        <v>65</v>
      </c>
      <c r="R20" s="39" t="s">
        <v>65</v>
      </c>
      <c r="S20" s="39" t="s">
        <v>65</v>
      </c>
      <c r="AB20" s="39" t="s">
        <v>65</v>
      </c>
      <c r="AE20" s="39" t="s">
        <v>65</v>
      </c>
      <c r="AI20" s="39" t="s">
        <v>67</v>
      </c>
      <c r="AJ20" s="39" t="s">
        <v>67</v>
      </c>
      <c r="AL20" s="39" t="s">
        <v>67</v>
      </c>
      <c r="AO20" s="39" t="s">
        <v>65</v>
      </c>
      <c r="AP20" s="39" t="s">
        <v>65</v>
      </c>
    </row>
    <row r="21">
      <c r="A21" s="38" t="s">
        <v>191</v>
      </c>
      <c r="B21" s="30" t="s">
        <v>192</v>
      </c>
      <c r="C21" s="39" t="s">
        <v>193</v>
      </c>
      <c r="D21" s="39" t="s">
        <v>194</v>
      </c>
      <c r="E21" s="39" t="s">
        <v>195</v>
      </c>
      <c r="F21" s="39" t="s">
        <v>131</v>
      </c>
      <c r="G21" s="39" t="s">
        <v>131</v>
      </c>
      <c r="H21" s="39" t="s">
        <v>131</v>
      </c>
      <c r="I21" s="41">
        <v>17.0</v>
      </c>
      <c r="J21" s="41">
        <v>5.0</v>
      </c>
      <c r="K21" s="39">
        <v>17.0</v>
      </c>
      <c r="L21" s="39">
        <v>0.0</v>
      </c>
      <c r="M21" s="42" t="s">
        <v>65</v>
      </c>
      <c r="N21" s="39" t="s">
        <v>67</v>
      </c>
      <c r="R21" s="39" t="s">
        <v>65</v>
      </c>
      <c r="S21" s="39" t="s">
        <v>65</v>
      </c>
      <c r="X21" s="39" t="s">
        <v>67</v>
      </c>
      <c r="Y21" s="39" t="s">
        <v>65</v>
      </c>
      <c r="Z21" s="39" t="s">
        <v>65</v>
      </c>
      <c r="AA21" s="39" t="s">
        <v>65</v>
      </c>
      <c r="AB21" s="39" t="s">
        <v>65</v>
      </c>
      <c r="AE21" s="39" t="s">
        <v>65</v>
      </c>
      <c r="AI21" s="39" t="s">
        <v>67</v>
      </c>
      <c r="AJ21" s="39" t="s">
        <v>65</v>
      </c>
      <c r="AK21" s="39" t="s">
        <v>67</v>
      </c>
      <c r="AL21" s="39" t="s">
        <v>67</v>
      </c>
      <c r="AO21" s="39" t="s">
        <v>65</v>
      </c>
      <c r="AP21" s="39" t="s">
        <v>65</v>
      </c>
      <c r="AQ21" s="39" t="s">
        <v>65</v>
      </c>
    </row>
    <row r="22">
      <c r="A22" s="38" t="s">
        <v>196</v>
      </c>
      <c r="B22" s="39" t="s">
        <v>197</v>
      </c>
      <c r="C22" s="39" t="s">
        <v>198</v>
      </c>
      <c r="D22" s="39" t="s">
        <v>131</v>
      </c>
      <c r="E22" s="39" t="s">
        <v>199</v>
      </c>
      <c r="F22" s="39" t="s">
        <v>131</v>
      </c>
      <c r="G22" s="39" t="s">
        <v>131</v>
      </c>
      <c r="H22" s="39" t="s">
        <v>131</v>
      </c>
      <c r="I22" s="39">
        <v>14.0</v>
      </c>
      <c r="J22" s="39">
        <v>0.0</v>
      </c>
      <c r="K22" s="39">
        <v>14.0</v>
      </c>
      <c r="L22" s="39">
        <v>0.0</v>
      </c>
      <c r="M22" s="42" t="s">
        <v>65</v>
      </c>
      <c r="N22" s="39" t="s">
        <v>65</v>
      </c>
      <c r="R22" s="39" t="s">
        <v>65</v>
      </c>
      <c r="S22" s="39" t="s">
        <v>65</v>
      </c>
      <c r="X22" s="39" t="s">
        <v>65</v>
      </c>
      <c r="Y22" s="39" t="s">
        <v>65</v>
      </c>
      <c r="AB22" s="39" t="s">
        <v>65</v>
      </c>
      <c r="AF22" s="39" t="s">
        <v>65</v>
      </c>
      <c r="AI22" s="39" t="s">
        <v>65</v>
      </c>
      <c r="AJ22" s="39" t="s">
        <v>65</v>
      </c>
      <c r="AK22" s="39" t="s">
        <v>65</v>
      </c>
      <c r="AL22" s="39" t="s">
        <v>65</v>
      </c>
      <c r="AN22" s="39" t="s">
        <v>65</v>
      </c>
      <c r="AO22" s="39" t="s">
        <v>65</v>
      </c>
    </row>
    <row r="23">
      <c r="A23" s="38" t="s">
        <v>200</v>
      </c>
      <c r="B23" s="39" t="s">
        <v>201</v>
      </c>
      <c r="C23" s="39" t="s">
        <v>202</v>
      </c>
      <c r="D23" s="39" t="s">
        <v>203</v>
      </c>
      <c r="E23" s="39" t="s">
        <v>204</v>
      </c>
      <c r="F23" s="39" t="s">
        <v>205</v>
      </c>
      <c r="G23" s="39" t="s">
        <v>131</v>
      </c>
      <c r="H23" s="39" t="s">
        <v>131</v>
      </c>
      <c r="I23" s="39">
        <v>9.0</v>
      </c>
      <c r="J23" s="39">
        <v>2.0</v>
      </c>
      <c r="K23" s="39">
        <v>8.0</v>
      </c>
      <c r="L23" s="39">
        <v>1.0</v>
      </c>
      <c r="M23" s="40"/>
      <c r="N23" s="39" t="s">
        <v>65</v>
      </c>
      <c r="Y23" s="39" t="s">
        <v>65</v>
      </c>
      <c r="AF23" s="39" t="s">
        <v>65</v>
      </c>
      <c r="AI23" s="39" t="s">
        <v>65</v>
      </c>
      <c r="AJ23" s="39" t="s">
        <v>67</v>
      </c>
      <c r="AK23" s="39" t="s">
        <v>65</v>
      </c>
      <c r="AL23" s="39" t="s">
        <v>67</v>
      </c>
      <c r="AO23" s="39" t="s">
        <v>65</v>
      </c>
      <c r="AP23" s="39" t="s">
        <v>68</v>
      </c>
    </row>
    <row r="24">
      <c r="A24" s="43" t="s">
        <v>206</v>
      </c>
      <c r="B24" s="15"/>
      <c r="C24" s="15"/>
      <c r="D24" s="15"/>
      <c r="E24" s="15"/>
      <c r="F24" s="15"/>
      <c r="G24" s="15"/>
      <c r="H24" s="16"/>
      <c r="I24" s="44">
        <v>12.733333333333333</v>
      </c>
      <c r="J24" s="44">
        <v>3.1333333333333333</v>
      </c>
      <c r="K24" s="45"/>
      <c r="L24" s="16"/>
      <c r="M24" s="4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6"/>
    </row>
    <row r="25">
      <c r="A25" s="43" t="s">
        <v>207</v>
      </c>
      <c r="B25" s="15"/>
      <c r="C25" s="15"/>
      <c r="D25" s="15"/>
      <c r="E25" s="15"/>
      <c r="F25" s="15"/>
      <c r="G25" s="15"/>
      <c r="H25" s="16"/>
      <c r="I25" s="46">
        <v>100.0</v>
      </c>
      <c r="J25" s="44">
        <v>93.33333333333333</v>
      </c>
      <c r="K25" s="45"/>
      <c r="L25" s="16"/>
      <c r="M25" s="4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6"/>
    </row>
    <row r="26">
      <c r="A26" s="43" t="s">
        <v>208</v>
      </c>
      <c r="B26" s="15"/>
      <c r="C26" s="15"/>
      <c r="D26" s="15"/>
      <c r="E26" s="15"/>
      <c r="F26" s="15"/>
      <c r="G26" s="15"/>
      <c r="H26" s="16"/>
      <c r="I26" s="44">
        <f>8*100/15</f>
        <v>53.33333333</v>
      </c>
      <c r="J26" s="44">
        <f>7*100/15</f>
        <v>46.66666667</v>
      </c>
      <c r="K26" s="45"/>
      <c r="L26" s="16"/>
      <c r="M26" s="4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6"/>
    </row>
    <row r="29">
      <c r="A29" s="43" t="s">
        <v>209</v>
      </c>
      <c r="B29" s="47" t="s">
        <v>210</v>
      </c>
      <c r="D29" s="32" t="s">
        <v>211</v>
      </c>
      <c r="E29" s="32" t="s">
        <v>23</v>
      </c>
      <c r="F29" s="34" t="s">
        <v>124</v>
      </c>
      <c r="H29" s="32" t="s">
        <v>211</v>
      </c>
      <c r="I29" s="32" t="s">
        <v>23</v>
      </c>
      <c r="J29" s="34" t="s">
        <v>212</v>
      </c>
    </row>
    <row r="30">
      <c r="A30" s="42" t="s">
        <v>50</v>
      </c>
      <c r="B30" s="48">
        <v>11.0</v>
      </c>
      <c r="D30" s="49">
        <v>1.0</v>
      </c>
      <c r="E30" s="50" t="s">
        <v>176</v>
      </c>
      <c r="F30" s="51">
        <v>22.0</v>
      </c>
      <c r="H30" s="49">
        <v>1.0</v>
      </c>
      <c r="I30" s="50" t="s">
        <v>176</v>
      </c>
      <c r="J30" s="51">
        <v>7.0</v>
      </c>
    </row>
    <row r="31">
      <c r="A31" s="42" t="s">
        <v>49</v>
      </c>
      <c r="B31" s="48">
        <v>7.0</v>
      </c>
      <c r="D31" s="52">
        <v>2.0</v>
      </c>
      <c r="E31" s="39" t="s">
        <v>160</v>
      </c>
      <c r="F31" s="48">
        <v>17.0</v>
      </c>
      <c r="H31" s="52">
        <v>2.0</v>
      </c>
      <c r="I31" s="39" t="s">
        <v>166</v>
      </c>
      <c r="J31" s="48">
        <v>6.0</v>
      </c>
    </row>
    <row r="32">
      <c r="A32" s="42" t="s">
        <v>30</v>
      </c>
      <c r="B32" s="48">
        <v>5.0</v>
      </c>
      <c r="D32" s="52">
        <v>3.0</v>
      </c>
      <c r="E32" s="39" t="s">
        <v>192</v>
      </c>
      <c r="F32" s="48">
        <v>17.0</v>
      </c>
      <c r="H32" s="52">
        <v>3.0</v>
      </c>
      <c r="I32" s="39" t="s">
        <v>138</v>
      </c>
      <c r="J32" s="48">
        <v>5.0</v>
      </c>
    </row>
    <row r="33">
      <c r="A33" s="42" t="s">
        <v>52</v>
      </c>
      <c r="B33" s="48">
        <v>5.0</v>
      </c>
      <c r="D33" s="52">
        <v>4.0</v>
      </c>
      <c r="E33" s="39" t="s">
        <v>166</v>
      </c>
      <c r="F33" s="48">
        <v>16.0</v>
      </c>
      <c r="H33" s="52">
        <v>4.0</v>
      </c>
      <c r="I33" s="39" t="s">
        <v>143</v>
      </c>
      <c r="J33" s="48">
        <v>5.0</v>
      </c>
    </row>
    <row r="34">
      <c r="A34" s="42" t="s">
        <v>53</v>
      </c>
      <c r="B34" s="48">
        <v>4.0</v>
      </c>
      <c r="D34" s="52">
        <v>5.0</v>
      </c>
      <c r="E34" s="39" t="s">
        <v>133</v>
      </c>
      <c r="F34" s="48">
        <v>14.0</v>
      </c>
      <c r="H34" s="52">
        <v>5.0</v>
      </c>
      <c r="I34" s="39" t="s">
        <v>192</v>
      </c>
      <c r="J34" s="48">
        <v>5.0</v>
      </c>
    </row>
    <row r="35">
      <c r="A35" s="42" t="s">
        <v>51</v>
      </c>
      <c r="B35" s="48">
        <v>4.0</v>
      </c>
      <c r="D35" s="52">
        <v>6.0</v>
      </c>
      <c r="E35" s="39" t="s">
        <v>197</v>
      </c>
      <c r="F35" s="48">
        <v>14.0</v>
      </c>
      <c r="H35" s="52">
        <v>6.0</v>
      </c>
      <c r="I35" s="39" t="s">
        <v>133</v>
      </c>
      <c r="J35" s="48">
        <v>4.0</v>
      </c>
    </row>
    <row r="36">
      <c r="A36" s="42" t="s">
        <v>40</v>
      </c>
      <c r="B36" s="48">
        <v>3.0</v>
      </c>
      <c r="D36" s="52">
        <v>7.0</v>
      </c>
      <c r="E36" s="39" t="s">
        <v>171</v>
      </c>
      <c r="F36" s="48">
        <v>13.0</v>
      </c>
      <c r="H36" s="52">
        <v>7.0</v>
      </c>
      <c r="I36" s="39" t="s">
        <v>187</v>
      </c>
      <c r="J36" s="48">
        <v>4.0</v>
      </c>
    </row>
    <row r="37">
      <c r="A37" s="42" t="s">
        <v>54</v>
      </c>
      <c r="B37" s="48">
        <v>3.0</v>
      </c>
      <c r="D37" s="52">
        <v>8.0</v>
      </c>
      <c r="E37" s="39" t="s">
        <v>187</v>
      </c>
      <c r="F37" s="48">
        <v>13.0</v>
      </c>
      <c r="H37" s="52">
        <v>8.0</v>
      </c>
      <c r="I37" s="39" t="s">
        <v>160</v>
      </c>
      <c r="J37" s="48">
        <v>3.0</v>
      </c>
    </row>
    <row r="38">
      <c r="A38" s="42" t="s">
        <v>61</v>
      </c>
      <c r="B38" s="48">
        <v>2.0</v>
      </c>
      <c r="D38" s="52">
        <v>9.0</v>
      </c>
      <c r="E38" s="39" t="s">
        <v>138</v>
      </c>
      <c r="F38" s="48">
        <v>11.0</v>
      </c>
      <c r="H38" s="52">
        <v>9.0</v>
      </c>
      <c r="I38" s="39" t="s">
        <v>126</v>
      </c>
      <c r="J38" s="48">
        <v>2.0</v>
      </c>
    </row>
    <row r="39">
      <c r="A39" s="42" t="s">
        <v>36</v>
      </c>
      <c r="B39" s="48">
        <v>1.0</v>
      </c>
      <c r="D39" s="52">
        <v>10.0</v>
      </c>
      <c r="E39" s="39" t="s">
        <v>143</v>
      </c>
      <c r="F39" s="48">
        <v>11.0</v>
      </c>
      <c r="H39" s="52">
        <v>10.0</v>
      </c>
      <c r="I39" s="39" t="s">
        <v>201</v>
      </c>
      <c r="J39" s="48">
        <v>2.0</v>
      </c>
    </row>
    <row r="40">
      <c r="A40" s="42" t="s">
        <v>42</v>
      </c>
      <c r="B40" s="48">
        <v>1.0</v>
      </c>
      <c r="D40" s="52">
        <v>11.0</v>
      </c>
      <c r="E40" s="39" t="s">
        <v>126</v>
      </c>
      <c r="F40" s="48">
        <v>10.0</v>
      </c>
      <c r="H40" s="52">
        <v>11.0</v>
      </c>
      <c r="I40" s="39" t="s">
        <v>148</v>
      </c>
      <c r="J40" s="48">
        <v>1.0</v>
      </c>
    </row>
    <row r="41">
      <c r="A41" s="53" t="s">
        <v>11</v>
      </c>
      <c r="B41" s="54">
        <v>1.0</v>
      </c>
      <c r="D41" s="52">
        <v>12.0</v>
      </c>
      <c r="E41" s="39" t="s">
        <v>148</v>
      </c>
      <c r="F41" s="48">
        <v>9.0</v>
      </c>
      <c r="H41" s="52">
        <v>12.0</v>
      </c>
      <c r="I41" s="39" t="s">
        <v>154</v>
      </c>
      <c r="J41" s="48">
        <v>1.0</v>
      </c>
    </row>
    <row r="42">
      <c r="D42" s="52">
        <v>13.0</v>
      </c>
      <c r="E42" s="39" t="s">
        <v>201</v>
      </c>
      <c r="F42" s="48">
        <v>9.0</v>
      </c>
      <c r="H42" s="52">
        <v>13.0</v>
      </c>
      <c r="I42" s="39" t="s">
        <v>171</v>
      </c>
      <c r="J42" s="48">
        <v>1.0</v>
      </c>
    </row>
    <row r="43">
      <c r="D43" s="52">
        <v>14.0</v>
      </c>
      <c r="E43" s="39" t="s">
        <v>154</v>
      </c>
      <c r="F43" s="48">
        <v>8.0</v>
      </c>
      <c r="H43" s="52">
        <v>14.0</v>
      </c>
      <c r="I43" s="39" t="s">
        <v>182</v>
      </c>
      <c r="J43" s="48">
        <v>1.0</v>
      </c>
    </row>
    <row r="44">
      <c r="D44" s="55">
        <v>15.0</v>
      </c>
      <c r="E44" s="56" t="s">
        <v>182</v>
      </c>
      <c r="F44" s="54">
        <v>7.0</v>
      </c>
      <c r="H44" s="55">
        <v>15.0</v>
      </c>
      <c r="I44" s="56" t="s">
        <v>197</v>
      </c>
      <c r="J44" s="54">
        <v>0.0</v>
      </c>
    </row>
  </sheetData>
  <mergeCells count="31">
    <mergeCell ref="G7:G8"/>
    <mergeCell ref="H7:H8"/>
    <mergeCell ref="A24:H24"/>
    <mergeCell ref="A25:H25"/>
    <mergeCell ref="A26:H26"/>
    <mergeCell ref="I7:I8"/>
    <mergeCell ref="J7:J8"/>
    <mergeCell ref="K7:K8"/>
    <mergeCell ref="L7:L8"/>
    <mergeCell ref="K24:L24"/>
    <mergeCell ref="K25:L25"/>
    <mergeCell ref="K26:L26"/>
    <mergeCell ref="M7:Q7"/>
    <mergeCell ref="R7:S7"/>
    <mergeCell ref="T7:V7"/>
    <mergeCell ref="W7:X7"/>
    <mergeCell ref="AA7:AF7"/>
    <mergeCell ref="AI7:AJ7"/>
    <mergeCell ref="M24:AU24"/>
    <mergeCell ref="M25:AU25"/>
    <mergeCell ref="M26:AU26"/>
    <mergeCell ref="AL7:AN7"/>
    <mergeCell ref="AO7:AQ7"/>
    <mergeCell ref="A1:AU1"/>
    <mergeCell ref="A7:A8"/>
    <mergeCell ref="B7:B8"/>
    <mergeCell ref="C7:C8"/>
    <mergeCell ref="D7:D8"/>
    <mergeCell ref="E7:E8"/>
    <mergeCell ref="F7:F8"/>
    <mergeCell ref="AS7:AT7"/>
  </mergeCells>
  <conditionalFormatting sqref="I9:I23">
    <cfRule type="expression" dxfId="0" priority="1">
      <formula>I9&gt;12.7</formula>
    </cfRule>
  </conditionalFormatting>
  <conditionalFormatting sqref="J9:J23">
    <cfRule type="expression" dxfId="0" priority="2">
      <formula>J9&gt;3.1</formula>
    </cfRule>
  </conditionalFormatting>
  <hyperlinks>
    <hyperlink r:id="rId1" ref="A1"/>
    <hyperlink r:id="rId2" ref="A9"/>
    <hyperlink r:id="rId3" ref="A10"/>
    <hyperlink r:id="rId4" ref="A11"/>
    <hyperlink r:id="rId5" ref="A12"/>
    <hyperlink r:id="rId6" ref="A13"/>
    <hyperlink r:id="rId7" ref="A14"/>
    <hyperlink r:id="rId8" ref="A15"/>
    <hyperlink r:id="rId9" ref="A16"/>
    <hyperlink r:id="rId10" ref="A17"/>
    <hyperlink r:id="rId11" ref="A18"/>
    <hyperlink r:id="rId12" ref="A19"/>
    <hyperlink r:id="rId13" ref="A20"/>
    <hyperlink r:id="rId14" ref="A21"/>
    <hyperlink r:id="rId15" ref="A22"/>
    <hyperlink r:id="rId16" ref="A23"/>
  </hyperlinks>
  <drawing r:id="rId1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38"/>
    <col customWidth="1" min="2" max="2" width="30.88"/>
    <col customWidth="1" min="3" max="3" width="24.13"/>
    <col customWidth="1" min="4" max="4" width="12.88"/>
    <col customWidth="1" min="5" max="5" width="31.63"/>
    <col customWidth="1" min="7" max="7" width="23.13"/>
    <col customWidth="1" min="9" max="9" width="31.63"/>
    <col customWidth="1" min="10" max="10" width="13.88"/>
    <col customWidth="1" min="27" max="27" width="14.88"/>
    <col customWidth="1" min="33" max="33" width="14.5"/>
    <col customWidth="1" min="34" max="34" width="13.25"/>
  </cols>
  <sheetData>
    <row r="1">
      <c r="A1" s="14" t="s">
        <v>213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6"/>
    </row>
    <row r="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row>
    <row r="3">
      <c r="A3" s="32" t="s">
        <v>22</v>
      </c>
      <c r="B3" s="32" t="s">
        <v>23</v>
      </c>
      <c r="C3" s="32" t="s">
        <v>24</v>
      </c>
      <c r="D3" s="33" t="s">
        <v>119</v>
      </c>
      <c r="E3" s="33" t="s">
        <v>120</v>
      </c>
      <c r="F3" s="33" t="s">
        <v>121</v>
      </c>
      <c r="G3" s="33" t="s">
        <v>122</v>
      </c>
      <c r="H3" s="33" t="s">
        <v>123</v>
      </c>
      <c r="I3" s="34" t="s">
        <v>124</v>
      </c>
      <c r="J3" s="32" t="s">
        <v>26</v>
      </c>
      <c r="K3" s="32" t="s">
        <v>27</v>
      </c>
      <c r="L3" s="32" t="s">
        <v>28</v>
      </c>
      <c r="M3" s="17" t="s">
        <v>7</v>
      </c>
      <c r="N3" s="15"/>
      <c r="O3" s="15"/>
      <c r="P3" s="15"/>
      <c r="Q3" s="16"/>
      <c r="R3" s="17" t="s">
        <v>8</v>
      </c>
      <c r="S3" s="16"/>
      <c r="T3" s="18" t="s">
        <v>9</v>
      </c>
      <c r="U3" s="15"/>
      <c r="V3" s="16"/>
      <c r="W3" s="18" t="s">
        <v>10</v>
      </c>
      <c r="X3" s="16"/>
      <c r="Y3" s="19" t="s">
        <v>11</v>
      </c>
      <c r="Z3" s="19" t="s">
        <v>12</v>
      </c>
      <c r="AA3" s="18" t="s">
        <v>13</v>
      </c>
      <c r="AB3" s="15"/>
      <c r="AC3" s="15"/>
      <c r="AD3" s="15"/>
      <c r="AE3" s="15"/>
      <c r="AF3" s="16"/>
      <c r="AG3" s="19" t="s">
        <v>47</v>
      </c>
      <c r="AH3" s="19" t="s">
        <v>48</v>
      </c>
      <c r="AI3" s="18" t="s">
        <v>15</v>
      </c>
      <c r="AJ3" s="16"/>
      <c r="AK3" s="19" t="s">
        <v>16</v>
      </c>
      <c r="AL3" s="18" t="s">
        <v>17</v>
      </c>
      <c r="AM3" s="15"/>
      <c r="AN3" s="16"/>
      <c r="AO3" s="18" t="s">
        <v>18</v>
      </c>
      <c r="AP3" s="15"/>
      <c r="AQ3" s="15"/>
      <c r="AR3" s="35" t="s">
        <v>19</v>
      </c>
      <c r="AS3" s="17" t="s">
        <v>20</v>
      </c>
      <c r="AT3" s="16"/>
      <c r="AU3" s="19" t="s">
        <v>21</v>
      </c>
    </row>
    <row r="4">
      <c r="A4" s="36"/>
      <c r="B4" s="36"/>
      <c r="C4" s="36"/>
      <c r="D4" s="36"/>
      <c r="E4" s="36"/>
      <c r="F4" s="36"/>
      <c r="G4" s="36"/>
      <c r="H4" s="36"/>
      <c r="I4" s="36"/>
      <c r="J4" s="36"/>
      <c r="K4" s="36"/>
      <c r="L4" s="36"/>
      <c r="M4" s="21" t="s">
        <v>29</v>
      </c>
      <c r="N4" s="21" t="s">
        <v>30</v>
      </c>
      <c r="O4" s="21" t="s">
        <v>31</v>
      </c>
      <c r="P4" s="21" t="s">
        <v>32</v>
      </c>
      <c r="Q4" s="21" t="s">
        <v>33</v>
      </c>
      <c r="R4" s="37" t="s">
        <v>34</v>
      </c>
      <c r="S4" s="37" t="s">
        <v>35</v>
      </c>
      <c r="T4" s="21" t="s">
        <v>36</v>
      </c>
      <c r="U4" s="21" t="s">
        <v>37</v>
      </c>
      <c r="V4" s="21" t="s">
        <v>38</v>
      </c>
      <c r="W4" s="21" t="s">
        <v>39</v>
      </c>
      <c r="X4" s="21" t="s">
        <v>40</v>
      </c>
      <c r="Y4" s="21" t="s">
        <v>11</v>
      </c>
      <c r="Z4" s="21" t="s">
        <v>12</v>
      </c>
      <c r="AA4" s="21" t="s">
        <v>41</v>
      </c>
      <c r="AB4" s="21" t="s">
        <v>42</v>
      </c>
      <c r="AC4" s="21" t="s">
        <v>43</v>
      </c>
      <c r="AD4" s="21" t="s">
        <v>44</v>
      </c>
      <c r="AE4" s="21" t="s">
        <v>45</v>
      </c>
      <c r="AF4" s="21" t="s">
        <v>46</v>
      </c>
      <c r="AG4" s="21" t="s">
        <v>47</v>
      </c>
      <c r="AH4" s="21" t="s">
        <v>48</v>
      </c>
      <c r="AI4" s="21" t="s">
        <v>49</v>
      </c>
      <c r="AJ4" s="21" t="s">
        <v>50</v>
      </c>
      <c r="AK4" s="21" t="s">
        <v>51</v>
      </c>
      <c r="AL4" s="21" t="s">
        <v>52</v>
      </c>
      <c r="AM4" s="21" t="s">
        <v>53</v>
      </c>
      <c r="AN4" s="21" t="s">
        <v>54</v>
      </c>
      <c r="AO4" s="21" t="s">
        <v>55</v>
      </c>
      <c r="AP4" s="21" t="s">
        <v>56</v>
      </c>
      <c r="AQ4" s="21" t="s">
        <v>60</v>
      </c>
      <c r="AR4" s="21" t="s">
        <v>57</v>
      </c>
      <c r="AS4" s="21" t="s">
        <v>58</v>
      </c>
      <c r="AT4" s="21" t="s">
        <v>59</v>
      </c>
      <c r="AU4" s="21" t="s">
        <v>61</v>
      </c>
    </row>
    <row r="5">
      <c r="A5" s="38" t="s">
        <v>214</v>
      </c>
      <c r="B5" s="39" t="s">
        <v>215</v>
      </c>
      <c r="C5" s="39" t="s">
        <v>216</v>
      </c>
      <c r="D5" s="39" t="s">
        <v>217</v>
      </c>
      <c r="E5" s="39" t="s">
        <v>218</v>
      </c>
      <c r="F5" s="39" t="s">
        <v>219</v>
      </c>
      <c r="G5" s="39" t="s">
        <v>131</v>
      </c>
      <c r="H5" s="39" t="s">
        <v>131</v>
      </c>
      <c r="I5" s="42">
        <v>4.0</v>
      </c>
      <c r="J5" s="39">
        <v>2.0</v>
      </c>
      <c r="K5" s="39">
        <v>3.0</v>
      </c>
      <c r="L5" s="48">
        <v>1.0</v>
      </c>
      <c r="M5" s="39" t="s">
        <v>65</v>
      </c>
      <c r="Q5" s="39" t="s">
        <v>65</v>
      </c>
      <c r="AI5" s="39" t="s">
        <v>67</v>
      </c>
      <c r="AL5" s="39" t="s">
        <v>75</v>
      </c>
      <c r="AQ5" s="41"/>
      <c r="AT5" s="41"/>
      <c r="AU5" s="41"/>
    </row>
    <row r="6">
      <c r="A6" s="38" t="s">
        <v>220</v>
      </c>
      <c r="B6" s="39" t="s">
        <v>221</v>
      </c>
      <c r="C6" s="57" t="s">
        <v>222</v>
      </c>
      <c r="D6" s="39" t="s">
        <v>131</v>
      </c>
      <c r="E6" s="39" t="s">
        <v>223</v>
      </c>
      <c r="F6" s="39" t="s">
        <v>131</v>
      </c>
      <c r="G6" s="39" t="s">
        <v>131</v>
      </c>
      <c r="H6" s="39" t="s">
        <v>131</v>
      </c>
      <c r="I6" s="42">
        <v>9.0</v>
      </c>
      <c r="J6" s="39">
        <v>0.0</v>
      </c>
      <c r="K6" s="58">
        <v>9.0</v>
      </c>
      <c r="L6" s="48">
        <v>0.0</v>
      </c>
      <c r="M6" s="39" t="s">
        <v>65</v>
      </c>
      <c r="N6" s="39" t="s">
        <v>65</v>
      </c>
      <c r="AF6" s="39" t="s">
        <v>65</v>
      </c>
      <c r="AI6" s="39" t="s">
        <v>65</v>
      </c>
      <c r="AJ6" s="39" t="s">
        <v>65</v>
      </c>
      <c r="AK6" s="39" t="s">
        <v>65</v>
      </c>
      <c r="AL6" s="39" t="s">
        <v>65</v>
      </c>
      <c r="AO6" s="39" t="s">
        <v>65</v>
      </c>
      <c r="AP6" s="39" t="s">
        <v>65</v>
      </c>
      <c r="AQ6" s="41"/>
      <c r="AT6" s="41"/>
      <c r="AU6" s="41"/>
    </row>
    <row r="7">
      <c r="A7" s="38" t="s">
        <v>224</v>
      </c>
      <c r="B7" s="39" t="s">
        <v>225</v>
      </c>
      <c r="C7" s="39" t="s">
        <v>226</v>
      </c>
      <c r="D7" s="39" t="s">
        <v>227</v>
      </c>
      <c r="E7" s="39" t="s">
        <v>228</v>
      </c>
      <c r="F7" s="39" t="s">
        <v>229</v>
      </c>
      <c r="G7" s="39" t="s">
        <v>131</v>
      </c>
      <c r="H7" s="39" t="s">
        <v>131</v>
      </c>
      <c r="I7" s="42">
        <v>6.0</v>
      </c>
      <c r="J7" s="39">
        <v>3.0</v>
      </c>
      <c r="K7" s="58">
        <v>4.0</v>
      </c>
      <c r="L7" s="48">
        <v>2.0</v>
      </c>
      <c r="M7" s="39" t="s">
        <v>67</v>
      </c>
      <c r="N7" s="39" t="s">
        <v>67</v>
      </c>
      <c r="AJ7" s="39" t="s">
        <v>67</v>
      </c>
      <c r="AL7" s="39" t="s">
        <v>65</v>
      </c>
      <c r="AO7" s="39" t="s">
        <v>68</v>
      </c>
      <c r="AP7" s="39" t="s">
        <v>68</v>
      </c>
    </row>
    <row r="8">
      <c r="A8" s="38" t="s">
        <v>230</v>
      </c>
      <c r="B8" s="39" t="s">
        <v>231</v>
      </c>
      <c r="C8" s="57" t="s">
        <v>232</v>
      </c>
      <c r="D8" s="39" t="s">
        <v>128</v>
      </c>
      <c r="E8" s="39" t="s">
        <v>233</v>
      </c>
      <c r="F8" s="39" t="s">
        <v>131</v>
      </c>
      <c r="G8" s="39" t="s">
        <v>131</v>
      </c>
      <c r="H8" s="39" t="s">
        <v>131</v>
      </c>
      <c r="I8" s="42">
        <v>15.0</v>
      </c>
      <c r="J8" s="39">
        <v>2.0</v>
      </c>
      <c r="K8" s="58">
        <v>15.0</v>
      </c>
      <c r="L8" s="48">
        <v>0.0</v>
      </c>
      <c r="M8" s="39" t="s">
        <v>65</v>
      </c>
      <c r="N8" s="39" t="s">
        <v>65</v>
      </c>
      <c r="X8" s="39" t="s">
        <v>65</v>
      </c>
      <c r="AD8" s="39" t="s">
        <v>65</v>
      </c>
      <c r="AE8" s="39" t="s">
        <v>65</v>
      </c>
      <c r="AF8" s="39" t="s">
        <v>65</v>
      </c>
      <c r="AH8" s="39" t="s">
        <v>65</v>
      </c>
      <c r="AI8" s="39" t="s">
        <v>65</v>
      </c>
      <c r="AJ8" s="39" t="s">
        <v>67</v>
      </c>
      <c r="AL8" s="39" t="s">
        <v>65</v>
      </c>
      <c r="AM8" s="39" t="s">
        <v>67</v>
      </c>
      <c r="AN8" s="39" t="s">
        <v>65</v>
      </c>
      <c r="AO8" s="39" t="s">
        <v>65</v>
      </c>
      <c r="AP8" s="39" t="s">
        <v>65</v>
      </c>
      <c r="AQ8" s="39" t="s">
        <v>65</v>
      </c>
    </row>
    <row r="9">
      <c r="A9" s="38" t="s">
        <v>234</v>
      </c>
      <c r="B9" s="39" t="s">
        <v>235</v>
      </c>
      <c r="C9" s="39" t="s">
        <v>236</v>
      </c>
      <c r="D9" s="39" t="s">
        <v>237</v>
      </c>
      <c r="E9" s="39" t="s">
        <v>238</v>
      </c>
      <c r="F9" s="39" t="s">
        <v>131</v>
      </c>
      <c r="G9" s="39" t="s">
        <v>131</v>
      </c>
      <c r="H9" s="39" t="s">
        <v>131</v>
      </c>
      <c r="I9" s="42">
        <v>11.0</v>
      </c>
      <c r="J9" s="39">
        <v>3.0</v>
      </c>
      <c r="K9" s="58">
        <v>11.0</v>
      </c>
      <c r="L9" s="48">
        <v>0.0</v>
      </c>
      <c r="M9" s="39" t="s">
        <v>65</v>
      </c>
      <c r="N9" s="39" t="s">
        <v>65</v>
      </c>
      <c r="X9" s="39" t="s">
        <v>65</v>
      </c>
      <c r="AB9" s="39" t="s">
        <v>65</v>
      </c>
      <c r="AF9" s="39" t="s">
        <v>65</v>
      </c>
      <c r="AI9" s="39" t="s">
        <v>67</v>
      </c>
      <c r="AJ9" s="39" t="s">
        <v>67</v>
      </c>
      <c r="AK9" s="39" t="s">
        <v>65</v>
      </c>
      <c r="AL9" s="39" t="s">
        <v>67</v>
      </c>
      <c r="AO9" s="39" t="s">
        <v>65</v>
      </c>
      <c r="AP9" s="39" t="s">
        <v>65</v>
      </c>
    </row>
    <row r="10">
      <c r="A10" s="43" t="s">
        <v>206</v>
      </c>
      <c r="B10" s="15"/>
      <c r="C10" s="15"/>
      <c r="D10" s="15"/>
      <c r="E10" s="15"/>
      <c r="F10" s="15"/>
      <c r="G10" s="15"/>
      <c r="H10" s="16"/>
      <c r="I10" s="44">
        <f t="shared" ref="I10:J10" si="1">AVERAGE(I5:I9)</f>
        <v>9</v>
      </c>
      <c r="J10" s="44">
        <f t="shared" si="1"/>
        <v>2</v>
      </c>
      <c r="K10" s="45"/>
      <c r="L10" s="16"/>
      <c r="M10" s="4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6"/>
    </row>
    <row r="11">
      <c r="A11" s="43" t="s">
        <v>207</v>
      </c>
      <c r="B11" s="15"/>
      <c r="C11" s="15"/>
      <c r="D11" s="15"/>
      <c r="E11" s="15"/>
      <c r="F11" s="15"/>
      <c r="G11" s="15"/>
      <c r="H11" s="16"/>
      <c r="I11" s="46">
        <v>100.0</v>
      </c>
      <c r="J11" s="44">
        <f>4*100/5</f>
        <v>80</v>
      </c>
      <c r="K11" s="45"/>
      <c r="L11" s="16"/>
      <c r="M11" s="4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6"/>
    </row>
  </sheetData>
  <mergeCells count="28">
    <mergeCell ref="G3:G4"/>
    <mergeCell ref="H3:H4"/>
    <mergeCell ref="A10:H10"/>
    <mergeCell ref="A11:H11"/>
    <mergeCell ref="I3:I4"/>
    <mergeCell ref="J3:J4"/>
    <mergeCell ref="K3:K4"/>
    <mergeCell ref="L3:L4"/>
    <mergeCell ref="K10:L10"/>
    <mergeCell ref="K11:L11"/>
    <mergeCell ref="M3:Q3"/>
    <mergeCell ref="R3:S3"/>
    <mergeCell ref="T3:V3"/>
    <mergeCell ref="W3:X3"/>
    <mergeCell ref="AA3:AF3"/>
    <mergeCell ref="AI3:AJ3"/>
    <mergeCell ref="M10:AU10"/>
    <mergeCell ref="M11:AU11"/>
    <mergeCell ref="AL3:AN3"/>
    <mergeCell ref="AO3:AQ3"/>
    <mergeCell ref="A1:AU1"/>
    <mergeCell ref="A3:A4"/>
    <mergeCell ref="B3:B4"/>
    <mergeCell ref="C3:C4"/>
    <mergeCell ref="D3:D4"/>
    <mergeCell ref="E3:E4"/>
    <mergeCell ref="F3:F4"/>
    <mergeCell ref="AS3:AT3"/>
  </mergeCells>
  <conditionalFormatting sqref="J5:J9">
    <cfRule type="expression" dxfId="0" priority="1">
      <formula>J5&gt;12.7</formula>
    </cfRule>
  </conditionalFormatting>
  <conditionalFormatting sqref="K5">
    <cfRule type="expression" dxfId="0" priority="2">
      <formula>K5&gt;3.1</formula>
    </cfRule>
  </conditionalFormatting>
  <hyperlinks>
    <hyperlink r:id="rId1" ref="A1"/>
    <hyperlink r:id="rId2" ref="A5"/>
    <hyperlink r:id="rId3" ref="A6"/>
    <hyperlink r:id="rId4" ref="A7"/>
    <hyperlink r:id="rId5" ref="A8"/>
    <hyperlink r:id="rId6" ref="A9"/>
  </hyperlinks>
  <drawing r:id="rId7"/>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5" max="15" width="15.5"/>
    <col customWidth="1" min="16" max="16" width="19.0"/>
    <col customWidth="1" min="17" max="17" width="21.5"/>
  </cols>
  <sheetData>
    <row r="1" ht="37.5" customHeight="1">
      <c r="A1" s="14" t="s">
        <v>239</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6"/>
    </row>
    <row r="4">
      <c r="D4" s="59" t="s">
        <v>240</v>
      </c>
      <c r="E4" s="15"/>
      <c r="F4" s="15"/>
      <c r="G4" s="15"/>
      <c r="H4" s="15"/>
      <c r="I4" s="15"/>
      <c r="J4" s="15"/>
      <c r="K4" s="15"/>
      <c r="L4" s="15"/>
      <c r="M4" s="15"/>
      <c r="N4" s="16"/>
    </row>
    <row r="5">
      <c r="B5" s="60" t="s">
        <v>241</v>
      </c>
      <c r="C5" s="61" t="s">
        <v>242</v>
      </c>
      <c r="D5" s="62" t="s">
        <v>243</v>
      </c>
      <c r="E5" s="62" t="s">
        <v>244</v>
      </c>
      <c r="F5" s="63" t="s">
        <v>245</v>
      </c>
      <c r="G5" s="64" t="s">
        <v>246</v>
      </c>
      <c r="H5" s="64" t="s">
        <v>247</v>
      </c>
      <c r="I5" s="64" t="s">
        <v>248</v>
      </c>
      <c r="J5" s="64" t="s">
        <v>249</v>
      </c>
      <c r="K5" s="64" t="s">
        <v>250</v>
      </c>
      <c r="L5" s="64" t="s">
        <v>251</v>
      </c>
      <c r="M5" s="64" t="s">
        <v>252</v>
      </c>
      <c r="N5" s="64" t="s">
        <v>253</v>
      </c>
      <c r="O5" s="61" t="s">
        <v>254</v>
      </c>
      <c r="P5" s="65" t="s">
        <v>255</v>
      </c>
      <c r="Q5" s="66" t="s">
        <v>256</v>
      </c>
    </row>
    <row r="6">
      <c r="B6" s="67" t="s">
        <v>257</v>
      </c>
      <c r="C6" s="68">
        <v>1.0</v>
      </c>
      <c r="D6" s="69">
        <v>500579.0</v>
      </c>
      <c r="E6" s="70">
        <v>522639.0</v>
      </c>
      <c r="F6" s="71">
        <v>11839.0</v>
      </c>
      <c r="G6" s="72">
        <v>13055.0</v>
      </c>
      <c r="H6" s="72">
        <v>3200988.0</v>
      </c>
      <c r="I6" s="72">
        <v>1865.0</v>
      </c>
      <c r="J6" s="72">
        <v>20.0</v>
      </c>
      <c r="K6" s="72">
        <v>6.0</v>
      </c>
      <c r="L6" s="72">
        <v>61698.0</v>
      </c>
      <c r="M6" s="72">
        <v>2425.0</v>
      </c>
      <c r="N6" s="72">
        <v>222.0</v>
      </c>
      <c r="O6" s="72">
        <v>4315336.0</v>
      </c>
      <c r="P6" s="72">
        <v>11713.0</v>
      </c>
      <c r="Q6" s="73">
        <v>368.0</v>
      </c>
    </row>
    <row r="7">
      <c r="B7" s="67" t="s">
        <v>258</v>
      </c>
      <c r="C7" s="68">
        <v>2.0</v>
      </c>
      <c r="D7" s="69">
        <v>56629.0</v>
      </c>
      <c r="E7" s="70">
        <v>39429.0</v>
      </c>
      <c r="F7" s="71">
        <v>1885.0</v>
      </c>
      <c r="G7" s="74">
        <v>1828.0</v>
      </c>
      <c r="H7" s="71">
        <v>142968.0</v>
      </c>
      <c r="I7" s="71">
        <v>1279.0</v>
      </c>
      <c r="J7" s="71">
        <v>4.0</v>
      </c>
      <c r="K7" s="71">
        <v>5.0</v>
      </c>
      <c r="L7" s="71">
        <v>3545.0</v>
      </c>
      <c r="M7" s="71">
        <v>1241.0</v>
      </c>
      <c r="N7" s="71">
        <v>52.0</v>
      </c>
      <c r="O7" s="71">
        <v>248865.0</v>
      </c>
      <c r="P7" s="71">
        <v>1367.0</v>
      </c>
      <c r="Q7" s="75">
        <v>182.0</v>
      </c>
      <c r="R7" s="26"/>
      <c r="S7" s="26"/>
      <c r="T7" s="26"/>
      <c r="U7" s="26"/>
      <c r="V7" s="26"/>
      <c r="W7" s="26"/>
      <c r="X7" s="26"/>
      <c r="Y7" s="26"/>
      <c r="Z7" s="26"/>
      <c r="AA7" s="26"/>
      <c r="AB7" s="26"/>
      <c r="AC7" s="26"/>
      <c r="AD7" s="26"/>
      <c r="AE7" s="26"/>
      <c r="AF7" s="26"/>
      <c r="AG7" s="26"/>
      <c r="AH7" s="26"/>
      <c r="AI7" s="26"/>
      <c r="AJ7" s="26"/>
      <c r="AK7" s="26"/>
      <c r="AL7" s="26"/>
      <c r="AM7" s="26"/>
      <c r="AN7" s="26"/>
      <c r="AO7" s="26"/>
      <c r="AP7" s="26"/>
    </row>
    <row r="8">
      <c r="B8" s="67" t="s">
        <v>259</v>
      </c>
      <c r="C8" s="68">
        <v>2.0</v>
      </c>
      <c r="D8" s="69">
        <v>130420.0</v>
      </c>
      <c r="E8" s="70">
        <v>111994.0</v>
      </c>
      <c r="F8" s="71">
        <v>1645.0</v>
      </c>
      <c r="G8" s="72">
        <v>3177.0</v>
      </c>
      <c r="H8" s="71">
        <v>242421.0</v>
      </c>
      <c r="I8" s="71">
        <v>2237.0</v>
      </c>
      <c r="J8" s="71">
        <v>1.0</v>
      </c>
      <c r="K8" s="71">
        <v>6.0</v>
      </c>
      <c r="L8" s="71">
        <v>3815.0</v>
      </c>
      <c r="M8" s="71">
        <v>1934.0</v>
      </c>
      <c r="N8" s="71">
        <v>75.0</v>
      </c>
      <c r="O8" s="71">
        <v>497725.0</v>
      </c>
      <c r="P8" s="71">
        <v>2854.0</v>
      </c>
      <c r="Q8" s="75">
        <v>174.0</v>
      </c>
      <c r="R8" s="26"/>
      <c r="S8" s="26"/>
      <c r="T8" s="26"/>
      <c r="U8" s="26"/>
      <c r="V8" s="26"/>
      <c r="W8" s="26"/>
      <c r="X8" s="26"/>
      <c r="Y8" s="26"/>
      <c r="Z8" s="26"/>
      <c r="AA8" s="26"/>
      <c r="AB8" s="26"/>
      <c r="AC8" s="26"/>
      <c r="AD8" s="26"/>
      <c r="AE8" s="26"/>
      <c r="AF8" s="26"/>
      <c r="AG8" s="26"/>
      <c r="AH8" s="26"/>
      <c r="AI8" s="26"/>
      <c r="AJ8" s="26"/>
      <c r="AK8" s="26"/>
      <c r="AL8" s="26"/>
      <c r="AM8" s="26"/>
      <c r="AN8" s="26"/>
      <c r="AO8" s="26"/>
      <c r="AP8" s="26"/>
    </row>
    <row r="9">
      <c r="B9" s="67" t="s">
        <v>260</v>
      </c>
      <c r="C9" s="68">
        <v>4.0</v>
      </c>
      <c r="D9" s="69">
        <v>1882789.0</v>
      </c>
      <c r="E9" s="70">
        <v>2360242.0</v>
      </c>
      <c r="F9" s="71">
        <v>35289.0</v>
      </c>
      <c r="G9" s="72">
        <v>150551.0</v>
      </c>
      <c r="H9" s="71">
        <v>5246748.0</v>
      </c>
      <c r="I9" s="71">
        <v>72393.0</v>
      </c>
      <c r="J9" s="71">
        <v>327.0</v>
      </c>
      <c r="K9" s="71">
        <v>57.0</v>
      </c>
      <c r="L9" s="71">
        <v>108458.0</v>
      </c>
      <c r="M9" s="71">
        <v>68056.0</v>
      </c>
      <c r="N9" s="71">
        <v>1916.0</v>
      </c>
      <c r="O9" s="71">
        <v>9926826.0</v>
      </c>
      <c r="P9" s="71">
        <v>84548.0</v>
      </c>
      <c r="Q9" s="75">
        <v>117.0</v>
      </c>
      <c r="R9" s="26"/>
      <c r="S9" s="26"/>
      <c r="T9" s="26"/>
      <c r="U9" s="26"/>
      <c r="V9" s="26"/>
      <c r="W9" s="26"/>
      <c r="X9" s="26"/>
      <c r="Y9" s="26"/>
      <c r="Z9" s="26"/>
      <c r="AA9" s="26"/>
      <c r="AB9" s="26"/>
      <c r="AC9" s="26"/>
      <c r="AD9" s="26"/>
      <c r="AE9" s="26"/>
      <c r="AF9" s="26"/>
      <c r="AG9" s="26"/>
      <c r="AH9" s="26"/>
      <c r="AI9" s="26"/>
      <c r="AJ9" s="26"/>
      <c r="AK9" s="26"/>
      <c r="AL9" s="26"/>
      <c r="AM9" s="26"/>
      <c r="AN9" s="26"/>
      <c r="AO9" s="26"/>
      <c r="AP9" s="26"/>
    </row>
    <row r="10">
      <c r="B10" s="67" t="s">
        <v>261</v>
      </c>
      <c r="C10" s="68">
        <v>4.0</v>
      </c>
      <c r="D10" s="69">
        <v>477501.0</v>
      </c>
      <c r="E10" s="70">
        <v>217500.0</v>
      </c>
      <c r="F10" s="71">
        <v>6396.0</v>
      </c>
      <c r="G10" s="72">
        <v>12580.0</v>
      </c>
      <c r="H10" s="71">
        <v>743701.0</v>
      </c>
      <c r="I10" s="71">
        <v>4170.0</v>
      </c>
      <c r="J10" s="71">
        <v>10.0</v>
      </c>
      <c r="K10" s="71">
        <v>1.0</v>
      </c>
      <c r="L10" s="71">
        <v>15036.0</v>
      </c>
      <c r="M10" s="71">
        <v>3603.0</v>
      </c>
      <c r="N10" s="71">
        <v>162.0</v>
      </c>
      <c r="O10" s="71">
        <v>1480660.0</v>
      </c>
      <c r="P10" s="71">
        <v>10810.0</v>
      </c>
      <c r="Q10" s="75">
        <v>137.0</v>
      </c>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row>
    <row r="11">
      <c r="B11" s="67" t="s">
        <v>262</v>
      </c>
      <c r="C11" s="68">
        <v>6.0</v>
      </c>
      <c r="D11" s="69">
        <v>1069076.0</v>
      </c>
      <c r="E11" s="70">
        <v>324979.0</v>
      </c>
      <c r="F11" s="71">
        <v>6595.0</v>
      </c>
      <c r="G11" s="72">
        <v>7837.0</v>
      </c>
      <c r="H11" s="71">
        <v>1571569.0</v>
      </c>
      <c r="I11" s="71">
        <v>48239.0</v>
      </c>
      <c r="J11" s="71">
        <v>8.0</v>
      </c>
      <c r="K11" s="71">
        <v>6.0</v>
      </c>
      <c r="L11" s="71">
        <v>19356.0</v>
      </c>
      <c r="M11" s="71">
        <v>51607.0</v>
      </c>
      <c r="N11" s="71">
        <v>271.0</v>
      </c>
      <c r="O11" s="71">
        <v>3099543.0</v>
      </c>
      <c r="P11" s="71">
        <v>19118.0</v>
      </c>
      <c r="Q11" s="75">
        <v>162.0</v>
      </c>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row>
    <row r="12">
      <c r="B12" s="67" t="s">
        <v>263</v>
      </c>
      <c r="C12" s="68">
        <v>6.0</v>
      </c>
      <c r="D12" s="69">
        <v>599772.0</v>
      </c>
      <c r="E12" s="70">
        <v>802243.0</v>
      </c>
      <c r="F12" s="71">
        <v>7891.0</v>
      </c>
      <c r="G12" s="72">
        <v>20659.0</v>
      </c>
      <c r="H12" s="71">
        <v>1660741.0</v>
      </c>
      <c r="I12" s="71">
        <v>2974.0</v>
      </c>
      <c r="J12" s="74">
        <v>319.0</v>
      </c>
      <c r="K12" s="74">
        <v>27.0</v>
      </c>
      <c r="L12" s="74">
        <v>32379.0</v>
      </c>
      <c r="M12" s="71">
        <v>1815.0</v>
      </c>
      <c r="N12" s="71">
        <v>700.0</v>
      </c>
      <c r="O12" s="71">
        <v>3129520.0</v>
      </c>
      <c r="P12" s="71">
        <v>10431.0</v>
      </c>
      <c r="Q12" s="75">
        <v>300.0</v>
      </c>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row>
    <row r="13">
      <c r="B13" s="67" t="s">
        <v>264</v>
      </c>
      <c r="C13" s="68">
        <v>6.0</v>
      </c>
      <c r="D13" s="69">
        <v>285545.0</v>
      </c>
      <c r="E13" s="70">
        <v>319797.0</v>
      </c>
      <c r="F13" s="71">
        <v>3333.0</v>
      </c>
      <c r="G13" s="72">
        <v>10461.0</v>
      </c>
      <c r="H13" s="71">
        <v>908481.0</v>
      </c>
      <c r="I13" s="71">
        <v>2093.0</v>
      </c>
      <c r="J13" s="71">
        <v>3.0</v>
      </c>
      <c r="K13" s="71">
        <v>6.0</v>
      </c>
      <c r="L13" s="71">
        <v>15979.0</v>
      </c>
      <c r="M13" s="71">
        <v>3106.0</v>
      </c>
      <c r="N13" s="71">
        <v>136.0</v>
      </c>
      <c r="O13" s="71">
        <v>1548940.0</v>
      </c>
      <c r="P13" s="71">
        <v>10243.0</v>
      </c>
      <c r="Q13" s="75">
        <v>151.0</v>
      </c>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row>
    <row r="14">
      <c r="B14" s="67" t="s">
        <v>265</v>
      </c>
      <c r="C14" s="68">
        <v>9.0</v>
      </c>
      <c r="D14" s="69">
        <v>2559669.0</v>
      </c>
      <c r="E14" s="70">
        <v>4612934.0</v>
      </c>
      <c r="F14" s="71">
        <v>18930.0</v>
      </c>
      <c r="G14" s="72">
        <v>68853.0</v>
      </c>
      <c r="H14" s="71">
        <v>6269690.0</v>
      </c>
      <c r="I14" s="71">
        <v>7186.0</v>
      </c>
      <c r="J14" s="71">
        <v>45.0</v>
      </c>
      <c r="K14" s="71">
        <v>27.0</v>
      </c>
      <c r="L14" s="71">
        <v>162060.0</v>
      </c>
      <c r="M14" s="71">
        <v>5372.0</v>
      </c>
      <c r="N14" s="71">
        <v>1067.0</v>
      </c>
      <c r="O14" s="71">
        <v>1.3705833E7</v>
      </c>
      <c r="P14" s="71">
        <v>47912.0</v>
      </c>
      <c r="Q14" s="75">
        <v>286.0</v>
      </c>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row>
    <row r="15">
      <c r="B15" s="67" t="s">
        <v>266</v>
      </c>
      <c r="C15" s="68">
        <v>10.0</v>
      </c>
      <c r="D15" s="69">
        <v>159367.0</v>
      </c>
      <c r="E15" s="70">
        <v>564516.0</v>
      </c>
      <c r="F15" s="71">
        <v>3027.0</v>
      </c>
      <c r="G15" s="72">
        <v>6401.0</v>
      </c>
      <c r="H15" s="71">
        <v>465503.0</v>
      </c>
      <c r="I15" s="71">
        <v>1948.0</v>
      </c>
      <c r="J15" s="71">
        <v>12.0</v>
      </c>
      <c r="K15" s="71">
        <v>50.0</v>
      </c>
      <c r="L15" s="71">
        <v>8111.0</v>
      </c>
      <c r="M15" s="71">
        <v>2929.0</v>
      </c>
      <c r="N15" s="71">
        <v>45.0</v>
      </c>
      <c r="O15" s="71">
        <v>1211909.0</v>
      </c>
      <c r="P15" s="71">
        <v>51749.0</v>
      </c>
      <c r="Q15" s="75">
        <v>23.0</v>
      </c>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row>
    <row r="16">
      <c r="B16" s="67" t="s">
        <v>267</v>
      </c>
      <c r="C16" s="68">
        <v>11.0</v>
      </c>
      <c r="D16" s="69">
        <v>122431.0</v>
      </c>
      <c r="E16" s="70">
        <v>169558.0</v>
      </c>
      <c r="F16" s="71">
        <v>9914.0</v>
      </c>
      <c r="G16" s="72">
        <v>5079.0</v>
      </c>
      <c r="H16" s="71">
        <v>1233965.0</v>
      </c>
      <c r="I16" s="71">
        <v>1922.0</v>
      </c>
      <c r="J16" s="71">
        <v>14.0</v>
      </c>
      <c r="K16" s="71">
        <v>2.0</v>
      </c>
      <c r="L16" s="71">
        <v>28450.0</v>
      </c>
      <c r="M16" s="71">
        <v>2112.0</v>
      </c>
      <c r="N16" s="71">
        <v>195.0</v>
      </c>
      <c r="O16" s="71">
        <v>1573642.0</v>
      </c>
      <c r="P16" s="71">
        <v>5601.0</v>
      </c>
      <c r="Q16" s="75">
        <v>281.0</v>
      </c>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row>
    <row r="17">
      <c r="B17" s="67" t="s">
        <v>268</v>
      </c>
      <c r="C17" s="68">
        <v>11.0</v>
      </c>
      <c r="D17" s="69">
        <v>174724.0</v>
      </c>
      <c r="E17" s="70">
        <v>159521.0</v>
      </c>
      <c r="F17" s="71">
        <v>3474.0</v>
      </c>
      <c r="G17" s="72">
        <v>12465.0</v>
      </c>
      <c r="H17" s="71">
        <v>663500.0</v>
      </c>
      <c r="I17" s="71">
        <v>8161.0</v>
      </c>
      <c r="J17" s="71">
        <v>5.0</v>
      </c>
      <c r="K17" s="71">
        <v>6.0</v>
      </c>
      <c r="L17" s="71">
        <v>10559.0</v>
      </c>
      <c r="M17" s="71">
        <v>7790.0</v>
      </c>
      <c r="N17" s="71">
        <v>150.0</v>
      </c>
      <c r="O17" s="71">
        <v>1040355.0</v>
      </c>
      <c r="P17" s="71">
        <v>9130.0</v>
      </c>
      <c r="Q17" s="75">
        <v>114.0</v>
      </c>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row>
    <row r="18">
      <c r="B18" s="67" t="s">
        <v>269</v>
      </c>
      <c r="C18" s="68">
        <v>13.0</v>
      </c>
      <c r="D18" s="69">
        <v>2866096.0</v>
      </c>
      <c r="E18" s="70">
        <v>6011836.0</v>
      </c>
      <c r="F18" s="71">
        <v>41067.0</v>
      </c>
      <c r="G18" s="72">
        <v>90135.0</v>
      </c>
      <c r="H18" s="71">
        <v>1.130494E7</v>
      </c>
      <c r="I18" s="71">
        <v>97972.0</v>
      </c>
      <c r="J18" s="71">
        <v>104.0</v>
      </c>
      <c r="K18" s="71">
        <v>46.0</v>
      </c>
      <c r="L18" s="71">
        <v>192040.0</v>
      </c>
      <c r="M18" s="71">
        <v>88367.0</v>
      </c>
      <c r="N18" s="71">
        <v>1413.0</v>
      </c>
      <c r="O18" s="71">
        <v>2.0694016E7</v>
      </c>
      <c r="P18" s="71">
        <v>66439.0</v>
      </c>
      <c r="Q18" s="75">
        <v>311.0</v>
      </c>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row>
    <row r="19">
      <c r="B19" s="67" t="s">
        <v>270</v>
      </c>
      <c r="C19" s="68">
        <v>13.0</v>
      </c>
      <c r="D19" s="69">
        <v>322795.0</v>
      </c>
      <c r="E19" s="70">
        <v>332950.0</v>
      </c>
      <c r="F19" s="71">
        <v>9100.0</v>
      </c>
      <c r="G19" s="72">
        <v>7968.0</v>
      </c>
      <c r="H19" s="71">
        <v>1975893.0</v>
      </c>
      <c r="I19" s="71">
        <v>2348.0</v>
      </c>
      <c r="J19" s="71">
        <v>18.0</v>
      </c>
      <c r="K19" s="71">
        <v>2.0</v>
      </c>
      <c r="L19" s="71">
        <v>34697.0</v>
      </c>
      <c r="M19" s="71">
        <v>2630.0</v>
      </c>
      <c r="N19" s="71">
        <v>374.0</v>
      </c>
      <c r="O19" s="71">
        <v>2688775.0</v>
      </c>
      <c r="P19" s="71">
        <v>5948.0</v>
      </c>
      <c r="Q19" s="75">
        <v>452.0</v>
      </c>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row>
    <row r="20">
      <c r="B20" s="67" t="s">
        <v>271</v>
      </c>
      <c r="C20" s="68">
        <v>13.0</v>
      </c>
      <c r="D20" s="69">
        <v>462170.0</v>
      </c>
      <c r="E20" s="70">
        <v>514855.0</v>
      </c>
      <c r="F20" s="71">
        <v>21034.0</v>
      </c>
      <c r="G20" s="72">
        <v>12477.0</v>
      </c>
      <c r="H20" s="71">
        <v>3149011.0</v>
      </c>
      <c r="I20" s="71">
        <v>6682.0</v>
      </c>
      <c r="J20" s="71">
        <v>26.0</v>
      </c>
      <c r="K20" s="71">
        <v>5.0</v>
      </c>
      <c r="L20" s="71">
        <v>52390.0</v>
      </c>
      <c r="M20" s="71">
        <v>29513.0</v>
      </c>
      <c r="N20" s="71">
        <v>519.0</v>
      </c>
      <c r="O20" s="71">
        <v>4248682.0</v>
      </c>
      <c r="P20" s="71">
        <v>10551.0</v>
      </c>
      <c r="Q20" s="75">
        <v>403.0</v>
      </c>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row>
    <row r="21">
      <c r="B21" s="67" t="s">
        <v>272</v>
      </c>
      <c r="C21" s="68">
        <v>16.0</v>
      </c>
      <c r="D21" s="69">
        <v>916433.0</v>
      </c>
      <c r="E21" s="70">
        <v>1252047.0</v>
      </c>
      <c r="F21" s="71">
        <v>29580.0</v>
      </c>
      <c r="G21" s="72">
        <v>39519.0</v>
      </c>
      <c r="H21" s="71">
        <v>8865702.0</v>
      </c>
      <c r="I21" s="71">
        <v>22771.0</v>
      </c>
      <c r="J21" s="71">
        <v>85.0</v>
      </c>
      <c r="K21" s="71">
        <v>28.0</v>
      </c>
      <c r="L21" s="71">
        <v>257973.0</v>
      </c>
      <c r="M21" s="71">
        <v>20194.0</v>
      </c>
      <c r="N21" s="71">
        <v>704.0</v>
      </c>
      <c r="O21" s="71">
        <v>1.1405036E7</v>
      </c>
      <c r="P21" s="71">
        <v>18093.0</v>
      </c>
      <c r="Q21" s="75">
        <v>630.0</v>
      </c>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row>
    <row r="22">
      <c r="B22" s="67" t="s">
        <v>273</v>
      </c>
      <c r="C22" s="68">
        <v>16.0</v>
      </c>
      <c r="D22" s="69">
        <v>209632.0</v>
      </c>
      <c r="E22" s="70">
        <v>87868.0</v>
      </c>
      <c r="F22" s="71">
        <v>2005.0</v>
      </c>
      <c r="G22" s="72">
        <v>3293.0</v>
      </c>
      <c r="H22" s="71">
        <v>382455.0</v>
      </c>
      <c r="I22" s="71">
        <v>980.0</v>
      </c>
      <c r="J22" s="71">
        <v>1.0</v>
      </c>
      <c r="K22" s="71">
        <v>6.0</v>
      </c>
      <c r="L22" s="71">
        <v>5667.0</v>
      </c>
      <c r="M22" s="71">
        <v>1625.0</v>
      </c>
      <c r="N22" s="71">
        <v>86.0</v>
      </c>
      <c r="O22" s="71">
        <v>693618.0</v>
      </c>
      <c r="P22" s="71">
        <v>3896.0</v>
      </c>
      <c r="Q22" s="75">
        <v>178.0</v>
      </c>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row>
    <row r="23">
      <c r="B23" s="67" t="s">
        <v>274</v>
      </c>
      <c r="C23" s="68">
        <v>16.0</v>
      </c>
      <c r="D23" s="69">
        <v>185387.0</v>
      </c>
      <c r="E23" s="70">
        <v>67362.0</v>
      </c>
      <c r="F23" s="71">
        <v>1483.0</v>
      </c>
      <c r="G23" s="72">
        <v>4781.0</v>
      </c>
      <c r="H23" s="71">
        <v>323259.0</v>
      </c>
      <c r="I23" s="71">
        <v>1020.0</v>
      </c>
      <c r="J23" s="71">
        <v>0.0</v>
      </c>
      <c r="K23" s="71">
        <v>0.0</v>
      </c>
      <c r="L23" s="71">
        <v>4726.0</v>
      </c>
      <c r="M23" s="71">
        <v>815.0</v>
      </c>
      <c r="N23" s="71">
        <v>47.0</v>
      </c>
      <c r="O23" s="71">
        <v>588880.0</v>
      </c>
      <c r="P23" s="71">
        <v>5518.0</v>
      </c>
      <c r="Q23" s="75">
        <v>107.0</v>
      </c>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row>
    <row r="24">
      <c r="B24" s="67" t="s">
        <v>275</v>
      </c>
      <c r="C24" s="68">
        <v>19.0</v>
      </c>
      <c r="D24" s="69">
        <v>2871625.0</v>
      </c>
      <c r="E24" s="70">
        <v>2950268.0</v>
      </c>
      <c r="F24" s="71">
        <v>18061.0</v>
      </c>
      <c r="G24" s="72">
        <v>143255.0</v>
      </c>
      <c r="H24" s="71">
        <v>8509834.0</v>
      </c>
      <c r="I24" s="71">
        <v>16117.0</v>
      </c>
      <c r="J24" s="71">
        <v>96.0</v>
      </c>
      <c r="K24" s="71">
        <v>63.0</v>
      </c>
      <c r="L24" s="71">
        <v>123289.0</v>
      </c>
      <c r="M24" s="71">
        <v>7055.0</v>
      </c>
      <c r="N24" s="71">
        <v>738.0</v>
      </c>
      <c r="O24" s="71">
        <v>1.4640401E7</v>
      </c>
      <c r="P24" s="71">
        <v>59499.0</v>
      </c>
      <c r="Q24" s="75">
        <v>246.0</v>
      </c>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row>
    <row r="25">
      <c r="B25" s="67" t="s">
        <v>276</v>
      </c>
      <c r="C25" s="68">
        <v>20.0</v>
      </c>
      <c r="D25" s="69">
        <v>244560.0</v>
      </c>
      <c r="E25" s="70">
        <v>537230.0</v>
      </c>
      <c r="F25" s="71">
        <v>8694.0</v>
      </c>
      <c r="G25" s="72">
        <v>8425.0</v>
      </c>
      <c r="H25" s="71">
        <v>1943964.0</v>
      </c>
      <c r="I25" s="71">
        <v>1520.0</v>
      </c>
      <c r="J25" s="71">
        <v>52.0</v>
      </c>
      <c r="K25" s="71">
        <v>6.0</v>
      </c>
      <c r="L25" s="71">
        <v>39324.0</v>
      </c>
      <c r="M25" s="71">
        <v>1661.0</v>
      </c>
      <c r="N25" s="71">
        <v>267.0</v>
      </c>
      <c r="O25" s="71">
        <v>2785703.0</v>
      </c>
      <c r="P25" s="71">
        <v>5197.0</v>
      </c>
      <c r="Q25" s="75">
        <v>536.0</v>
      </c>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row>
    <row r="26">
      <c r="B26" s="67" t="s">
        <v>277</v>
      </c>
      <c r="C26" s="68">
        <v>20.0</v>
      </c>
      <c r="D26" s="69">
        <v>53105.0</v>
      </c>
      <c r="E26" s="70">
        <v>76405.0</v>
      </c>
      <c r="F26" s="71">
        <v>1220.0</v>
      </c>
      <c r="G26" s="72">
        <v>2359.0</v>
      </c>
      <c r="H26" s="71">
        <v>188500.0</v>
      </c>
      <c r="I26" s="71">
        <v>2294.0</v>
      </c>
      <c r="J26" s="71">
        <v>1.0</v>
      </c>
      <c r="K26" s="71">
        <v>1.0</v>
      </c>
      <c r="L26" s="71">
        <v>4551.0</v>
      </c>
      <c r="M26" s="71">
        <v>1636.0</v>
      </c>
      <c r="N26" s="71">
        <v>72.0</v>
      </c>
      <c r="O26" s="71">
        <v>330144.0</v>
      </c>
      <c r="P26" s="71">
        <v>1882.0</v>
      </c>
      <c r="Q26" s="75">
        <v>175.0</v>
      </c>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row>
    <row r="27">
      <c r="B27" s="67" t="s">
        <v>278</v>
      </c>
      <c r="C27" s="76">
        <v>22.0</v>
      </c>
      <c r="D27" s="69">
        <v>327077.0</v>
      </c>
      <c r="E27" s="70">
        <v>140244.0</v>
      </c>
      <c r="F27" s="71">
        <v>4154.0</v>
      </c>
      <c r="G27" s="72">
        <v>6221.0</v>
      </c>
      <c r="H27" s="71">
        <v>502369.0</v>
      </c>
      <c r="I27" s="71">
        <v>7119.0</v>
      </c>
      <c r="J27" s="71">
        <v>1.0</v>
      </c>
      <c r="K27" s="71">
        <v>2.0</v>
      </c>
      <c r="L27" s="71">
        <v>8508.0</v>
      </c>
      <c r="M27" s="71">
        <v>2218.0</v>
      </c>
      <c r="N27" s="71">
        <v>104.0</v>
      </c>
      <c r="O27" s="71">
        <v>998017.0</v>
      </c>
      <c r="P27" s="71">
        <v>6796.0</v>
      </c>
      <c r="Q27" s="75">
        <v>147.0</v>
      </c>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row>
    <row r="28">
      <c r="B28" s="67" t="s">
        <v>279</v>
      </c>
      <c r="C28" s="76">
        <v>23.0</v>
      </c>
      <c r="D28" s="69">
        <v>4260019.0</v>
      </c>
      <c r="E28" s="70">
        <v>8262849.0</v>
      </c>
      <c r="F28" s="71">
        <v>90143.0</v>
      </c>
      <c r="G28" s="72">
        <v>147464.0</v>
      </c>
      <c r="H28" s="71">
        <v>2.6942042E7</v>
      </c>
      <c r="I28" s="71">
        <v>33369.0</v>
      </c>
      <c r="J28" s="71">
        <v>579.0</v>
      </c>
      <c r="K28" s="71">
        <v>36.0</v>
      </c>
      <c r="L28" s="71">
        <v>633714.0</v>
      </c>
      <c r="M28" s="71">
        <v>31307.0</v>
      </c>
      <c r="N28" s="71">
        <v>5609.0</v>
      </c>
      <c r="O28" s="71">
        <v>4.0407131E7</v>
      </c>
      <c r="P28" s="71">
        <v>68683.0</v>
      </c>
      <c r="Q28" s="75">
        <v>588.0</v>
      </c>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row>
    <row r="29">
      <c r="B29" s="67" t="s">
        <v>280</v>
      </c>
      <c r="C29" s="76">
        <v>24.0</v>
      </c>
      <c r="D29" s="69">
        <v>236524.0</v>
      </c>
      <c r="E29" s="70">
        <v>365458.0</v>
      </c>
      <c r="F29" s="71">
        <v>9268.0</v>
      </c>
      <c r="G29" s="72">
        <v>8065.0</v>
      </c>
      <c r="H29" s="71">
        <v>1475173.0</v>
      </c>
      <c r="I29" s="71">
        <v>2595.0</v>
      </c>
      <c r="J29" s="71">
        <v>9.0</v>
      </c>
      <c r="K29" s="71">
        <v>9.0</v>
      </c>
      <c r="L29" s="71">
        <v>31792.0</v>
      </c>
      <c r="M29" s="71">
        <v>2753.0</v>
      </c>
      <c r="N29" s="71">
        <v>358.0</v>
      </c>
      <c r="O29" s="71">
        <v>2132004.0</v>
      </c>
      <c r="P29" s="71">
        <v>5519.0</v>
      </c>
      <c r="Q29" s="75">
        <v>386.0</v>
      </c>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row>
    <row r="30">
      <c r="B30" s="77" t="s">
        <v>281</v>
      </c>
      <c r="C30" s="78">
        <v>24.0</v>
      </c>
      <c r="D30" s="79">
        <v>64235.0</v>
      </c>
      <c r="E30" s="80">
        <v>68926.0</v>
      </c>
      <c r="F30" s="81">
        <v>1524.0</v>
      </c>
      <c r="G30" s="82">
        <v>2374.0</v>
      </c>
      <c r="H30" s="81">
        <v>214895.0</v>
      </c>
      <c r="I30" s="81">
        <v>724.0</v>
      </c>
      <c r="J30" s="81">
        <v>0.0</v>
      </c>
      <c r="K30" s="81">
        <v>7.0</v>
      </c>
      <c r="L30" s="81">
        <v>4232.0</v>
      </c>
      <c r="M30" s="81">
        <v>742.0</v>
      </c>
      <c r="N30" s="81">
        <v>68.0</v>
      </c>
      <c r="O30" s="81">
        <v>357727.0</v>
      </c>
      <c r="P30" s="81">
        <v>2118.0</v>
      </c>
      <c r="Q30" s="83">
        <v>169.0</v>
      </c>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row>
    <row r="31">
      <c r="B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row>
    <row r="32">
      <c r="B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row>
    <row r="33">
      <c r="B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row>
    <row r="34">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row>
    <row r="3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row>
    <row r="3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row>
    <row r="37">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row>
    <row r="38">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row>
    <row r="39">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row>
    <row r="40">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row>
    <row r="41">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row>
    <row r="42">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row>
    <row r="43">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row>
    <row r="44">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row>
    <row r="45">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row>
    <row r="4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row>
    <row r="47">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row>
    <row r="48">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row>
    <row r="49">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row>
    <row r="50">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row>
    <row r="51">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row>
    <row r="52">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row>
    <row r="53">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row>
    <row r="54">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row>
    <row r="5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row>
    <row r="5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row>
    <row r="57">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row>
    <row r="58">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row>
    <row r="59">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row>
    <row r="60">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row>
    <row r="61">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row>
    <row r="62">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row>
    <row r="63">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row>
    <row r="64">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row>
    <row r="6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row>
    <row r="6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row>
    <row r="67">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row>
    <row r="68">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row>
    <row r="69">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row>
    <row r="70">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row>
    <row r="71">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row>
    <row r="72">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row>
    <row r="73">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row>
    <row r="74">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row>
    <row r="75">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row>
    <row r="7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row>
    <row r="77">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row>
    <row r="78">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row>
    <row r="79">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row>
    <row r="80">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row>
    <row r="81">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row>
    <row r="82">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row>
    <row r="83">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row>
    <row r="84">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row>
    <row r="85">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row>
    <row r="8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row>
    <row r="87">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row>
    <row r="88">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row>
    <row r="89">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row>
    <row r="90">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row>
    <row r="91">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row>
    <row r="92">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row>
    <row r="93">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row>
    <row r="94">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row>
    <row r="95">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row>
    <row r="9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row>
    <row r="97">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row>
    <row r="98">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row>
    <row r="99">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row>
    <row r="100">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row>
    <row r="101">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row>
    <row r="102">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row>
    <row r="103">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row>
    <row r="104">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row>
    <row r="105">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row>
    <row r="10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row>
    <row r="107">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row>
    <row r="108">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row>
    <row r="109">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row>
    <row r="110">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row>
    <row r="111">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row>
    <row r="112">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row>
    <row r="113">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row>
    <row r="114">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row>
    <row r="115">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row>
    <row r="11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row>
    <row r="117">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row>
    <row r="118">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row>
    <row r="119">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row>
    <row r="120">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row>
    <row r="121">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row>
    <row r="122">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row>
    <row r="123">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row>
    <row r="124">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row>
    <row r="125">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row>
    <row r="1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row>
    <row r="127">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row>
    <row r="128">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row>
    <row r="129">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row>
    <row r="130">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row>
    <row r="131">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row>
    <row r="132">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row>
    <row r="133">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row>
    <row r="134">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row>
    <row r="135">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row>
    <row r="13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row>
    <row r="137">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row>
    <row r="138">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row>
    <row r="139">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row>
    <row r="140">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row>
    <row r="14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row>
    <row r="142">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row>
    <row r="143">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row>
    <row r="144">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row>
    <row r="145">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row>
    <row r="14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row>
    <row r="147">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row>
    <row r="148">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row>
    <row r="149">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row>
    <row r="150">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row>
    <row r="151">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row>
    <row r="152">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row>
    <row r="153">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row>
    <row r="154">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row>
    <row r="155">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row>
    <row r="15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row>
    <row r="157">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row>
    <row r="158">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row>
    <row r="159">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row>
    <row r="160">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row>
    <row r="161">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row>
    <row r="162">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row>
    <row r="163">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row>
    <row r="164">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row>
    <row r="165">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row>
    <row r="16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row>
    <row r="167">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row>
    <row r="168">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row>
    <row r="169">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row>
    <row r="170">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row>
    <row r="171">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row>
    <row r="172">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row>
    <row r="173">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row>
    <row r="174">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row>
    <row r="175">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row>
    <row r="17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row>
    <row r="177">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row>
    <row r="178">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row>
    <row r="179">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row>
    <row r="180">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row>
    <row r="181">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row>
    <row r="182">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row>
    <row r="183">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row>
    <row r="184">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row>
    <row r="185">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row>
    <row r="18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row>
    <row r="187">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row>
    <row r="188">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row>
    <row r="189">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row>
    <row r="190">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row>
    <row r="191">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row>
    <row r="192">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row>
    <row r="193">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row>
    <row r="194">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row>
    <row r="195">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row>
    <row r="19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row>
    <row r="197">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row>
    <row r="198">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row>
    <row r="199">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row>
    <row r="200">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row>
    <row r="201">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row>
    <row r="202">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row>
    <row r="203">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row>
    <row r="204">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row>
    <row r="205">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row>
    <row r="20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row>
    <row r="207">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row>
    <row r="208">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row>
    <row r="209">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row>
    <row r="210">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row>
    <row r="211">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row>
    <row r="212">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row>
    <row r="213">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row>
    <row r="214">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row>
    <row r="215">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row>
    <row r="21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row>
    <row r="217">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row>
    <row r="218">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row>
    <row r="219">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row>
    <row r="220">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row>
    <row r="221">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row>
    <row r="222">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row>
    <row r="223">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row>
    <row r="224">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row>
    <row r="225">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row>
    <row r="2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row>
    <row r="227">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row>
    <row r="228">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row>
    <row r="229">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row>
    <row r="230">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row>
    <row r="231">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row>
    <row r="232">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row>
    <row r="233">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row>
    <row r="234">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row>
    <row r="235">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row>
    <row r="23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row>
    <row r="237">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row>
    <row r="238">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row>
    <row r="239">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row>
    <row r="240">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row>
    <row r="241">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row>
    <row r="242">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row>
    <row r="243">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row>
    <row r="244">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row>
    <row r="245">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row>
    <row r="24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row>
    <row r="247">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row>
    <row r="248">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row>
    <row r="249">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row>
    <row r="250">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row>
    <row r="251">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row>
    <row r="252">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row>
    <row r="253">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row>
    <row r="254">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row>
    <row r="255">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row>
    <row r="25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row>
    <row r="257">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row>
    <row r="258">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row>
    <row r="259">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row>
    <row r="260">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row>
    <row r="261">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row>
    <row r="262">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row>
    <row r="263">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row>
    <row r="264">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row>
    <row r="265">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row>
    <row r="26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row>
    <row r="267">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row>
    <row r="268">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row>
    <row r="269">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row>
    <row r="270">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row>
    <row r="271">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row>
    <row r="272">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row>
    <row r="273">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row>
    <row r="274">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row>
    <row r="275">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row>
    <row r="27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row>
    <row r="277">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row>
    <row r="278">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row>
    <row r="279">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row>
    <row r="280">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row>
    <row r="281">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row>
    <row r="282">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row>
    <row r="283">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row>
    <row r="284">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row>
    <row r="285">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row>
    <row r="28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row>
    <row r="287">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row>
    <row r="288">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row>
    <row r="289">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row>
    <row r="290">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row>
    <row r="291">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row>
    <row r="292">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row>
    <row r="293">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row>
    <row r="294">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row>
    <row r="295">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row>
    <row r="29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row>
    <row r="297">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row>
    <row r="298">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row>
    <row r="299">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row>
    <row r="300">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row>
    <row r="301">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row>
    <row r="302">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row>
    <row r="303">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row>
    <row r="304">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row>
    <row r="305">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row>
    <row r="30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row>
    <row r="307">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row>
    <row r="308">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row>
    <row r="309">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row>
    <row r="310">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row>
    <row r="311">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row>
    <row r="312">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row>
    <row r="313">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row>
    <row r="314">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row>
    <row r="315">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row>
    <row r="31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row>
    <row r="317">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row>
    <row r="318">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row>
    <row r="319">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row>
    <row r="320">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row>
    <row r="321">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row>
    <row r="322">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row>
    <row r="323">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row>
    <row r="324">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row>
    <row r="325">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row>
    <row r="3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row>
    <row r="327">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row>
    <row r="328">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row>
    <row r="329">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row>
    <row r="330">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row>
    <row r="331">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row>
    <row r="332">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row>
    <row r="333">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row>
    <row r="334">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row>
    <row r="335">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row>
    <row r="33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row>
    <row r="337">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row>
    <row r="338">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row>
    <row r="339">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row>
    <row r="340">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row>
    <row r="341">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row>
    <row r="342">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row>
    <row r="343">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row>
    <row r="344">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row>
    <row r="345">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row>
    <row r="34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row>
    <row r="347">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row>
    <row r="348">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row>
    <row r="349">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row>
    <row r="350">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row>
    <row r="351">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row>
    <row r="352">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row>
    <row r="353">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row>
    <row r="354">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row>
    <row r="355">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row>
    <row r="35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row>
    <row r="357">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row>
    <row r="358">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row>
    <row r="359">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row>
    <row r="360">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row>
    <row r="361">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row>
    <row r="362">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row>
    <row r="363">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row>
    <row r="364">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row>
    <row r="365">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row>
    <row r="36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row>
    <row r="367">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row>
    <row r="368">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row>
    <row r="369">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row>
    <row r="370">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row>
    <row r="371">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row>
    <row r="372">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row>
    <row r="373">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row>
    <row r="374">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row>
    <row r="375">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row>
    <row r="37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row>
    <row r="377">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row>
    <row r="378">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row>
    <row r="379">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row>
    <row r="380">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row>
    <row r="381">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row>
    <row r="382">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row>
    <row r="383">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row>
    <row r="384">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row>
    <row r="385">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row>
    <row r="38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row>
    <row r="387">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row>
    <row r="388">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row>
    <row r="389">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row>
    <row r="390">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row>
    <row r="391">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row>
    <row r="392">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row>
    <row r="393">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row>
    <row r="394">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row>
    <row r="395">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row>
    <row r="39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row>
    <row r="397">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row>
    <row r="398">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row>
    <row r="399">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row>
    <row r="400">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row>
    <row r="401">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row>
    <row r="402">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row>
    <row r="403">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row>
    <row r="404">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row>
    <row r="405">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row>
    <row r="40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row>
    <row r="407">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row>
    <row r="408">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row>
    <row r="409">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row>
    <row r="410">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row>
    <row r="411">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row>
    <row r="412">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row>
    <row r="413">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row>
    <row r="414">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row>
    <row r="415">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row>
    <row r="41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row>
    <row r="417">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row>
    <row r="418">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row>
    <row r="419">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row>
    <row r="420">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row>
    <row r="421">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row>
    <row r="422">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row>
    <row r="423">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row>
    <row r="424">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row>
    <row r="425">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row>
    <row r="4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row>
    <row r="427">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row>
    <row r="428">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row>
    <row r="429">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row>
    <row r="430">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row>
    <row r="431">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row>
    <row r="432">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row>
    <row r="433">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row>
    <row r="434">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row>
    <row r="435">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row>
    <row r="43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row>
    <row r="437">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row>
    <row r="438">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row>
    <row r="439">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row>
    <row r="440">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row>
    <row r="441">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row>
    <row r="442">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row>
    <row r="443">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row>
    <row r="444">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row>
    <row r="445">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row>
    <row r="44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row>
    <row r="447">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row>
    <row r="448">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row>
    <row r="449">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row>
    <row r="450">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row>
    <row r="451">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row>
    <row r="452">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row>
    <row r="453">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row>
    <row r="454">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row>
    <row r="455">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row>
    <row r="45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row>
    <row r="457">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row>
    <row r="458">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row>
    <row r="459">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row>
    <row r="460">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row>
    <row r="461">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row>
    <row r="462">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row>
    <row r="463">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row>
    <row r="464">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row>
    <row r="465">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row>
    <row r="46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row>
    <row r="467">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row>
    <row r="468">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row>
    <row r="469">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row>
    <row r="470">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row>
    <row r="471">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row>
    <row r="472">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row>
    <row r="473">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row>
    <row r="474">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row>
    <row r="475">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row>
    <row r="47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row>
    <row r="477">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row>
    <row r="478">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row>
    <row r="479">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row>
    <row r="480">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row>
    <row r="481">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row>
    <row r="482">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row>
    <row r="483">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row>
    <row r="484">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row>
    <row r="485">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row>
    <row r="48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row>
    <row r="487">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row>
    <row r="488">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row>
    <row r="489">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row>
    <row r="490">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row>
    <row r="491">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row>
    <row r="492">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row>
    <row r="493">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row>
    <row r="494">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row>
    <row r="495">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row>
    <row r="49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row>
    <row r="497">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row>
    <row r="498">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row>
    <row r="499">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row>
    <row r="500">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row>
    <row r="501">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row>
    <row r="502">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row>
    <row r="503">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row>
    <row r="504">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row>
    <row r="505">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row>
    <row r="50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row>
    <row r="507">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row>
    <row r="508">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row>
    <row r="509">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row>
    <row r="510">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row>
    <row r="511">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row>
    <row r="512">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row>
    <row r="513">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row>
    <row r="514">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row>
    <row r="515">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row>
    <row r="51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row>
    <row r="517">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row>
    <row r="518">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row>
    <row r="519">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row>
    <row r="520">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row>
    <row r="521">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row>
    <row r="522">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row>
    <row r="523">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row>
    <row r="524">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row>
    <row r="525">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row>
    <row r="5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row>
    <row r="527">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row>
    <row r="528">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row>
    <row r="529">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row>
    <row r="530">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row>
    <row r="531">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row>
    <row r="532">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row>
    <row r="533">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row>
    <row r="534">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row>
    <row r="535">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row>
    <row r="53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row>
    <row r="537">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row>
    <row r="538">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row>
    <row r="539">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row>
    <row r="540">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row>
    <row r="541">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row>
    <row r="542">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row>
    <row r="543">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row>
    <row r="544">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row>
    <row r="545">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row>
    <row r="54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row>
    <row r="547">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row>
    <row r="548">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row>
    <row r="549">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row>
    <row r="550">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row>
    <row r="551">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row>
    <row r="552">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row>
    <row r="553">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row>
    <row r="554">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row>
    <row r="555">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row>
    <row r="55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row>
    <row r="557">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row>
    <row r="558">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row>
    <row r="559">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row>
    <row r="560">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row>
    <row r="561">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row>
    <row r="562">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row>
    <row r="563">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row>
    <row r="564">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row>
    <row r="565">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row>
    <row r="56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row>
    <row r="567">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row>
    <row r="568">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row>
    <row r="569">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row>
    <row r="570">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row>
    <row r="571">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row>
    <row r="572">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row>
    <row r="573">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row>
    <row r="574">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row>
    <row r="575">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row>
    <row r="57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row>
    <row r="577">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row>
    <row r="578">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row>
    <row r="579">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row>
    <row r="580">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row>
    <row r="581">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row>
    <row r="582">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row>
    <row r="583">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row>
    <row r="584">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row>
    <row r="585">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row>
    <row r="58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row>
    <row r="587">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row>
    <row r="588">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row>
    <row r="589">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row>
    <row r="590">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row>
    <row r="591">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row>
    <row r="592">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row>
    <row r="593">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row>
    <row r="594">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row>
    <row r="595">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row>
    <row r="59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row>
    <row r="597">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row>
    <row r="598">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row>
    <row r="599">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row>
    <row r="600">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row>
    <row r="601">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row>
    <row r="602">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row>
    <row r="603">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row>
    <row r="604">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row>
    <row r="605">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row>
    <row r="60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row>
    <row r="607">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row>
    <row r="608">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row>
    <row r="609">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row>
    <row r="610">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row>
    <row r="611">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row>
    <row r="612">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row>
    <row r="613">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row>
    <row r="614">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row>
    <row r="615">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row>
    <row r="61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row>
    <row r="617">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row>
    <row r="618">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row>
    <row r="619">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row>
    <row r="620">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row>
    <row r="621">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row>
    <row r="622">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row>
    <row r="623">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row>
    <row r="624">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row>
    <row r="625">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row>
    <row r="6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row>
    <row r="627">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row>
    <row r="628">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row>
    <row r="629">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row>
    <row r="630">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row>
    <row r="631">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row>
    <row r="632">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row>
    <row r="633">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row>
    <row r="634">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row>
    <row r="635">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row>
    <row r="63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row>
    <row r="637">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row>
    <row r="638">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row>
    <row r="639">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row>
    <row r="640">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row>
    <row r="641">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row>
    <row r="642">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row>
    <row r="643">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row>
    <row r="644">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row>
    <row r="645">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row>
    <row r="64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row>
    <row r="647">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row>
    <row r="648">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row>
    <row r="649">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row>
    <row r="650">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row>
    <row r="651">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row>
    <row r="652">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row>
    <row r="653">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row>
    <row r="654">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row>
    <row r="655">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row>
    <row r="65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row>
    <row r="657">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row>
    <row r="658">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row>
    <row r="659">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row>
    <row r="660">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row>
    <row r="661">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row>
    <row r="662">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row>
    <row r="663">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row>
    <row r="664">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row>
    <row r="665">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row>
    <row r="66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row>
    <row r="667">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row>
    <row r="668">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row>
    <row r="669">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row>
    <row r="670">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row>
    <row r="671">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row>
    <row r="672">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row>
    <row r="673">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row>
    <row r="674">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row>
    <row r="675">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row>
    <row r="67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row>
    <row r="677">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row>
    <row r="678">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row>
    <row r="679">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row>
    <row r="680">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row>
    <row r="681">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row>
    <row r="682">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row>
    <row r="683">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row>
    <row r="684">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row>
    <row r="685">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row>
    <row r="68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row>
    <row r="687">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row>
    <row r="688">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row>
    <row r="689">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row>
    <row r="690">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row>
    <row r="691">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row>
    <row r="692">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row>
    <row r="693">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row>
    <row r="694">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row>
    <row r="695">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row>
    <row r="69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row>
    <row r="697">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row>
    <row r="698">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row>
    <row r="699">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row>
    <row r="700">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row>
    <row r="701">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row>
    <row r="702">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row>
    <row r="703">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row>
    <row r="704">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row>
    <row r="705">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row>
    <row r="70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row>
    <row r="707">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row>
    <row r="708">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row>
    <row r="709">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row>
    <row r="710">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row>
    <row r="711">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row>
    <row r="712">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row>
    <row r="713">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row>
    <row r="714">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row>
    <row r="715">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row>
    <row r="71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row>
    <row r="717">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row>
    <row r="718">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row>
    <row r="719">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row>
    <row r="720">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row>
    <row r="721">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row>
    <row r="722">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row>
    <row r="723">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row>
    <row r="724">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row>
    <row r="725">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row>
    <row r="7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row>
    <row r="727">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row>
    <row r="728">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row>
    <row r="729">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row>
    <row r="730">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row>
    <row r="731">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row>
    <row r="732">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row>
    <row r="733">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row>
    <row r="734">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row>
    <row r="735">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row>
    <row r="73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row>
    <row r="737">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row>
    <row r="738">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row>
    <row r="739">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row>
    <row r="740">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row>
    <row r="741">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row>
    <row r="742">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row>
    <row r="743">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row>
    <row r="744">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row>
    <row r="745">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row>
    <row r="74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row>
    <row r="747">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row>
    <row r="748">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row>
    <row r="749">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row>
    <row r="750">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row>
    <row r="751">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row>
    <row r="752">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row>
    <row r="753">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row>
    <row r="754">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row>
    <row r="755">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row>
    <row r="75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row>
    <row r="757">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row>
    <row r="758">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row>
    <row r="759">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row>
    <row r="760">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row>
    <row r="761">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row>
    <row r="762">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row>
    <row r="763">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row>
    <row r="764">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row>
    <row r="765">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row>
    <row r="76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row>
    <row r="767">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row>
    <row r="768">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row>
    <row r="769">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row>
    <row r="770">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row>
    <row r="771">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row>
    <row r="772">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row>
    <row r="773">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row>
    <row r="774">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row>
    <row r="775">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row>
    <row r="77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row>
    <row r="777">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row>
    <row r="778">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row>
    <row r="779">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row>
    <row r="780">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row>
    <row r="781">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row>
    <row r="782">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row>
    <row r="783">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row>
    <row r="784">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row>
    <row r="785">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row>
    <row r="78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row>
    <row r="787">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row>
    <row r="788">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row>
    <row r="789">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row>
    <row r="790">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row>
    <row r="791">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row>
    <row r="792">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row>
    <row r="793">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row>
    <row r="794">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row>
    <row r="795">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row>
    <row r="79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row>
    <row r="797">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row>
    <row r="798">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row>
    <row r="799">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row>
    <row r="800">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row>
    <row r="801">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row>
    <row r="802">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row>
    <row r="803">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row>
    <row r="804">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row>
    <row r="805">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row>
    <row r="80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row>
    <row r="807">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row>
    <row r="808">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row>
    <row r="809">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row>
    <row r="810">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row>
    <row r="811">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row>
    <row r="812">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row>
    <row r="813">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row>
    <row r="814">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row>
    <row r="815">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row>
    <row r="81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row>
    <row r="817">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row>
    <row r="818">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row>
    <row r="819">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row>
    <row r="820">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row>
    <row r="821">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row>
    <row r="822">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row>
    <row r="823">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row>
    <row r="824">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row>
    <row r="825">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row>
    <row r="8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row>
    <row r="827">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row>
    <row r="828">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row>
    <row r="829">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row>
    <row r="830">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row>
    <row r="831">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row>
    <row r="832">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row>
    <row r="833">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row>
    <row r="834">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row>
    <row r="835">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row>
    <row r="83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row>
    <row r="837">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row>
    <row r="838">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row>
    <row r="839">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row>
    <row r="840">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row>
    <row r="841">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row>
    <row r="842">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row>
    <row r="843">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row>
    <row r="844">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row>
    <row r="845">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row>
    <row r="84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row>
    <row r="847">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row>
    <row r="848">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row>
    <row r="849">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row>
    <row r="850">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row>
    <row r="851">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row>
    <row r="852">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row>
    <row r="853">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row>
    <row r="854">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row>
    <row r="855">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row>
    <row r="85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row>
    <row r="857">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row>
    <row r="858">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row>
    <row r="859">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row>
    <row r="860">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row>
    <row r="861">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row>
    <row r="862">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row>
    <row r="863">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row>
    <row r="864">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row>
    <row r="865">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row>
    <row r="86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row>
    <row r="867">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row>
    <row r="868">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row>
    <row r="869">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row>
    <row r="870">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row>
    <row r="871">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row>
    <row r="872">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row>
    <row r="873">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row>
    <row r="874">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row>
    <row r="875">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row>
    <row r="87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row>
    <row r="877">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row>
    <row r="878">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row>
    <row r="879">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row>
    <row r="880">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row>
    <row r="881">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row>
    <row r="882">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row>
    <row r="883">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row>
    <row r="884">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row>
    <row r="885">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row>
    <row r="88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row>
    <row r="887">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row>
    <row r="888">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row>
    <row r="889">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row>
    <row r="890">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row>
    <row r="891">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row>
    <row r="892">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row>
    <row r="893">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row>
    <row r="894">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row>
    <row r="895">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row>
    <row r="89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row>
    <row r="897">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row>
    <row r="898">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row>
    <row r="899">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row>
    <row r="900">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row>
    <row r="901">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row>
    <row r="902">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row>
    <row r="903">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row>
    <row r="904">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row>
    <row r="905">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row>
    <row r="90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row>
    <row r="907">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row>
    <row r="908">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row>
    <row r="909">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row>
    <row r="910">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row>
    <row r="911">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row>
    <row r="912">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row>
    <row r="913">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row>
    <row r="914">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row>
    <row r="915">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row>
    <row r="91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row>
    <row r="917">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row>
    <row r="918">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row>
    <row r="919">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row>
    <row r="920">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row>
    <row r="921">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row>
    <row r="922">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row>
    <row r="923">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row>
    <row r="924">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row>
    <row r="925">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row>
    <row r="9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row>
    <row r="927">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row>
    <row r="928">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row>
    <row r="929">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row>
    <row r="930">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row>
    <row r="931">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row>
    <row r="932">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row>
    <row r="933">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row>
    <row r="934">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row>
    <row r="935">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row>
    <row r="93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row>
    <row r="937">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row>
    <row r="938">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row>
    <row r="939">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row>
    <row r="940">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row>
    <row r="941">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row>
    <row r="942">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row>
    <row r="943">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row>
    <row r="944">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row>
    <row r="945">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row>
    <row r="94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row>
    <row r="947">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row>
    <row r="948">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row>
    <row r="949">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row>
    <row r="950">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row>
    <row r="951">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row>
    <row r="952">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row>
    <row r="953">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row>
    <row r="954">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row>
    <row r="955">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row>
    <row r="95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row>
    <row r="957">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row>
    <row r="958">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row>
    <row r="959">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row>
    <row r="960">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row>
    <row r="961">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row>
    <row r="962">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row>
    <row r="963">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row>
    <row r="964">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row>
    <row r="965">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row>
    <row r="96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row>
    <row r="967">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row>
    <row r="968">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row>
    <row r="969">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row>
    <row r="970">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row>
    <row r="971">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row>
    <row r="972">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row>
    <row r="973">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row>
    <row r="974">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row>
    <row r="975">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row>
    <row r="97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row>
    <row r="977">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row>
    <row r="978">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row>
    <row r="979">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row>
    <row r="980">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row>
    <row r="981">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row>
    <row r="982">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row>
    <row r="983">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row>
    <row r="984">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row>
    <row r="985">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row>
    <row r="98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row>
    <row r="987">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row>
    <row r="988">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row>
    <row r="989">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row>
    <row r="990">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row>
    <row r="991">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row>
    <row r="992">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row>
    <row r="993">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row>
    <row r="994">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row>
    <row r="995">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row>
    <row r="99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row>
    <row r="997">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row>
    <row r="998">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row>
    <row r="999">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row>
    <row r="1000">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row>
    <row r="1001">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c r="AA1001" s="26"/>
      <c r="AB1001" s="26"/>
      <c r="AC1001" s="26"/>
      <c r="AD1001" s="26"/>
      <c r="AE1001" s="26"/>
      <c r="AF1001" s="26"/>
      <c r="AG1001" s="26"/>
      <c r="AH1001" s="26"/>
      <c r="AI1001" s="26"/>
      <c r="AJ1001" s="26"/>
      <c r="AK1001" s="26"/>
      <c r="AL1001" s="26"/>
      <c r="AM1001" s="26"/>
      <c r="AN1001" s="26"/>
      <c r="AO1001" s="26"/>
      <c r="AP1001" s="26"/>
    </row>
    <row r="1002">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c r="AE1002" s="26"/>
      <c r="AF1002" s="26"/>
      <c r="AG1002" s="26"/>
      <c r="AH1002" s="26"/>
      <c r="AI1002" s="26"/>
      <c r="AJ1002" s="26"/>
      <c r="AK1002" s="26"/>
      <c r="AL1002" s="26"/>
      <c r="AM1002" s="26"/>
      <c r="AN1002" s="26"/>
      <c r="AO1002" s="26"/>
      <c r="AP1002" s="26"/>
    </row>
    <row r="1003">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c r="AA1003" s="26"/>
      <c r="AB1003" s="26"/>
      <c r="AC1003" s="26"/>
      <c r="AD1003" s="26"/>
      <c r="AE1003" s="26"/>
      <c r="AF1003" s="26"/>
      <c r="AG1003" s="26"/>
      <c r="AH1003" s="26"/>
      <c r="AI1003" s="26"/>
      <c r="AJ1003" s="26"/>
      <c r="AK1003" s="26"/>
      <c r="AL1003" s="26"/>
      <c r="AM1003" s="26"/>
      <c r="AN1003" s="26"/>
      <c r="AO1003" s="26"/>
      <c r="AP1003" s="26"/>
    </row>
    <row r="1004">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c r="AA1004" s="26"/>
      <c r="AB1004" s="26"/>
      <c r="AC1004" s="26"/>
      <c r="AD1004" s="26"/>
      <c r="AE1004" s="26"/>
      <c r="AF1004" s="26"/>
      <c r="AG1004" s="26"/>
      <c r="AH1004" s="26"/>
      <c r="AI1004" s="26"/>
      <c r="AJ1004" s="26"/>
      <c r="AK1004" s="26"/>
      <c r="AL1004" s="26"/>
      <c r="AM1004" s="26"/>
      <c r="AN1004" s="26"/>
      <c r="AO1004" s="26"/>
      <c r="AP1004" s="26"/>
    </row>
    <row r="1005">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c r="AA1005" s="26"/>
      <c r="AB1005" s="26"/>
      <c r="AC1005" s="26"/>
      <c r="AD1005" s="26"/>
      <c r="AE1005" s="26"/>
      <c r="AF1005" s="26"/>
      <c r="AG1005" s="26"/>
      <c r="AH1005" s="26"/>
      <c r="AI1005" s="26"/>
      <c r="AJ1005" s="26"/>
      <c r="AK1005" s="26"/>
      <c r="AL1005" s="26"/>
      <c r="AM1005" s="26"/>
      <c r="AN1005" s="26"/>
      <c r="AO1005" s="26"/>
      <c r="AP1005" s="26"/>
    </row>
    <row r="100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c r="AA1006" s="26"/>
      <c r="AB1006" s="26"/>
      <c r="AC1006" s="26"/>
      <c r="AD1006" s="26"/>
      <c r="AE1006" s="26"/>
      <c r="AF1006" s="26"/>
      <c r="AG1006" s="26"/>
      <c r="AH1006" s="26"/>
      <c r="AI1006" s="26"/>
      <c r="AJ1006" s="26"/>
      <c r="AK1006" s="26"/>
      <c r="AL1006" s="26"/>
      <c r="AM1006" s="26"/>
      <c r="AN1006" s="26"/>
      <c r="AO1006" s="26"/>
      <c r="AP1006" s="26"/>
    </row>
    <row r="1007">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c r="AA1007" s="26"/>
      <c r="AB1007" s="26"/>
      <c r="AC1007" s="26"/>
      <c r="AD1007" s="26"/>
      <c r="AE1007" s="26"/>
      <c r="AF1007" s="26"/>
      <c r="AG1007" s="26"/>
      <c r="AH1007" s="26"/>
      <c r="AI1007" s="26"/>
      <c r="AJ1007" s="26"/>
      <c r="AK1007" s="26"/>
      <c r="AL1007" s="26"/>
      <c r="AM1007" s="26"/>
      <c r="AN1007" s="26"/>
      <c r="AO1007" s="26"/>
      <c r="AP1007" s="26"/>
    </row>
  </sheetData>
  <mergeCells count="2">
    <mergeCell ref="A1:AP1"/>
    <mergeCell ref="D4:N4"/>
  </mergeCells>
  <hyperlinks>
    <hyperlink r:id="rId1" ref="A1"/>
  </hyperlinks>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ht="37.5" customHeight="1">
      <c r="A1" s="14" t="s">
        <v>282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6"/>
      <c r="AQ1" s="84"/>
      <c r="AR1" s="84"/>
      <c r="AS1" s="84"/>
      <c r="AT1" s="84"/>
      <c r="AU1" s="84"/>
      <c r="AV1" s="84"/>
      <c r="AW1" s="84"/>
    </row>
    <row r="2">
      <c r="A2" s="85" t="s">
        <v>283</v>
      </c>
      <c r="B2" s="86" t="s">
        <v>23</v>
      </c>
      <c r="C2" s="86" t="s">
        <v>284</v>
      </c>
      <c r="D2" s="86" t="s">
        <v>285</v>
      </c>
      <c r="E2" s="86" t="s">
        <v>286</v>
      </c>
      <c r="F2" s="86" t="s">
        <v>287</v>
      </c>
      <c r="G2" s="86" t="s">
        <v>122</v>
      </c>
      <c r="H2" s="86" t="s">
        <v>123</v>
      </c>
      <c r="I2" s="86" t="s">
        <v>288</v>
      </c>
      <c r="J2" s="86" t="s">
        <v>289</v>
      </c>
      <c r="K2" s="86" t="s">
        <v>290</v>
      </c>
      <c r="L2" s="86" t="s">
        <v>291</v>
      </c>
      <c r="M2" s="86" t="s">
        <v>292</v>
      </c>
      <c r="N2" s="17" t="s">
        <v>7</v>
      </c>
      <c r="O2" s="15"/>
      <c r="P2" s="15"/>
      <c r="Q2" s="15"/>
      <c r="R2" s="16"/>
      <c r="S2" s="17" t="s">
        <v>8</v>
      </c>
      <c r="T2" s="16"/>
      <c r="U2" s="18" t="s">
        <v>9</v>
      </c>
      <c r="V2" s="15"/>
      <c r="W2" s="16"/>
      <c r="X2" s="18" t="s">
        <v>10</v>
      </c>
      <c r="Y2" s="16"/>
      <c r="Z2" s="19" t="s">
        <v>11</v>
      </c>
      <c r="AA2" s="19" t="s">
        <v>12</v>
      </c>
      <c r="AB2" s="18" t="s">
        <v>13</v>
      </c>
      <c r="AC2" s="15"/>
      <c r="AD2" s="15"/>
      <c r="AE2" s="15"/>
      <c r="AF2" s="15"/>
      <c r="AG2" s="16"/>
      <c r="AH2" s="18" t="s">
        <v>14</v>
      </c>
      <c r="AI2" s="16"/>
      <c r="AJ2" s="18" t="s">
        <v>15</v>
      </c>
      <c r="AK2" s="16"/>
      <c r="AL2" s="19" t="s">
        <v>16</v>
      </c>
      <c r="AM2" s="18" t="s">
        <v>17</v>
      </c>
      <c r="AN2" s="15"/>
      <c r="AO2" s="16"/>
      <c r="AP2" s="18" t="s">
        <v>18</v>
      </c>
      <c r="AQ2" s="15"/>
      <c r="AR2" s="15"/>
      <c r="AS2" s="35" t="s">
        <v>19</v>
      </c>
      <c r="AT2" s="17" t="s">
        <v>20</v>
      </c>
      <c r="AU2" s="16"/>
      <c r="AV2" s="87" t="s">
        <v>21</v>
      </c>
      <c r="AW2" s="88"/>
    </row>
    <row r="3">
      <c r="A3" s="89"/>
      <c r="B3" s="90"/>
      <c r="C3" s="90"/>
      <c r="D3" s="90"/>
      <c r="E3" s="90"/>
      <c r="F3" s="90"/>
      <c r="G3" s="90"/>
      <c r="H3" s="90"/>
      <c r="I3" s="90"/>
      <c r="J3" s="90"/>
      <c r="K3" s="90"/>
      <c r="L3" s="90"/>
      <c r="M3" s="90"/>
      <c r="N3" s="91" t="s">
        <v>29</v>
      </c>
      <c r="O3" s="91" t="s">
        <v>30</v>
      </c>
      <c r="P3" s="91" t="s">
        <v>31</v>
      </c>
      <c r="Q3" s="91" t="s">
        <v>32</v>
      </c>
      <c r="R3" s="91" t="s">
        <v>33</v>
      </c>
      <c r="S3" s="91" t="s">
        <v>34</v>
      </c>
      <c r="T3" s="91" t="s">
        <v>35</v>
      </c>
      <c r="U3" s="91" t="s">
        <v>36</v>
      </c>
      <c r="V3" s="91" t="s">
        <v>37</v>
      </c>
      <c r="W3" s="91" t="s">
        <v>38</v>
      </c>
      <c r="X3" s="91" t="s">
        <v>39</v>
      </c>
      <c r="Y3" s="91" t="s">
        <v>40</v>
      </c>
      <c r="Z3" s="91" t="s">
        <v>11</v>
      </c>
      <c r="AA3" s="91" t="s">
        <v>12</v>
      </c>
      <c r="AB3" s="91" t="s">
        <v>41</v>
      </c>
      <c r="AC3" s="91" t="s">
        <v>42</v>
      </c>
      <c r="AD3" s="91" t="s">
        <v>43</v>
      </c>
      <c r="AE3" s="91" t="s">
        <v>44</v>
      </c>
      <c r="AF3" s="91" t="s">
        <v>45</v>
      </c>
      <c r="AG3" s="91" t="s">
        <v>46</v>
      </c>
      <c r="AH3" s="91" t="s">
        <v>47</v>
      </c>
      <c r="AI3" s="91" t="s">
        <v>48</v>
      </c>
      <c r="AJ3" s="91" t="s">
        <v>49</v>
      </c>
      <c r="AK3" s="91" t="s">
        <v>50</v>
      </c>
      <c r="AL3" s="91" t="s">
        <v>51</v>
      </c>
      <c r="AM3" s="91" t="s">
        <v>52</v>
      </c>
      <c r="AN3" s="91" t="s">
        <v>53</v>
      </c>
      <c r="AO3" s="91" t="s">
        <v>54</v>
      </c>
      <c r="AP3" s="91" t="s">
        <v>55</v>
      </c>
      <c r="AQ3" s="91" t="s">
        <v>56</v>
      </c>
      <c r="AR3" s="91" t="s">
        <v>60</v>
      </c>
      <c r="AS3" s="91" t="s">
        <v>57</v>
      </c>
      <c r="AT3" s="91" t="s">
        <v>58</v>
      </c>
      <c r="AU3" s="91" t="s">
        <v>59</v>
      </c>
      <c r="AV3" s="91" t="s">
        <v>61</v>
      </c>
      <c r="AW3" s="88"/>
    </row>
    <row r="4">
      <c r="A4" s="92" t="s">
        <v>293</v>
      </c>
      <c r="B4" s="26" t="s">
        <v>294</v>
      </c>
      <c r="C4" s="26" t="s">
        <v>295</v>
      </c>
      <c r="D4" s="26" t="s">
        <v>131</v>
      </c>
      <c r="E4" s="26" t="s">
        <v>296</v>
      </c>
      <c r="F4" s="26" t="s">
        <v>131</v>
      </c>
      <c r="G4" s="26" t="s">
        <v>131</v>
      </c>
      <c r="H4" s="26" t="s">
        <v>131</v>
      </c>
      <c r="I4" s="93">
        <v>0.0</v>
      </c>
      <c r="J4" s="93">
        <v>10.0</v>
      </c>
      <c r="K4" s="93">
        <v>0.0</v>
      </c>
      <c r="L4" s="93" t="s">
        <v>297</v>
      </c>
      <c r="M4" s="93">
        <v>10.0</v>
      </c>
      <c r="N4" s="93" t="s">
        <v>65</v>
      </c>
      <c r="O4" s="93" t="s">
        <v>65</v>
      </c>
      <c r="P4" s="93" t="s">
        <v>65</v>
      </c>
      <c r="Q4" s="26" t="s">
        <v>66</v>
      </c>
      <c r="R4" s="26" t="s">
        <v>66</v>
      </c>
      <c r="S4" s="26" t="s">
        <v>66</v>
      </c>
      <c r="T4" s="26" t="s">
        <v>66</v>
      </c>
      <c r="U4" s="26" t="s">
        <v>66</v>
      </c>
      <c r="V4" s="26" t="s">
        <v>66</v>
      </c>
      <c r="W4" s="26" t="s">
        <v>66</v>
      </c>
      <c r="X4" s="26" t="s">
        <v>66</v>
      </c>
      <c r="Y4" s="26" t="s">
        <v>66</v>
      </c>
      <c r="Z4" s="26" t="s">
        <v>66</v>
      </c>
      <c r="AA4" s="26" t="s">
        <v>66</v>
      </c>
      <c r="AB4" s="26" t="s">
        <v>66</v>
      </c>
      <c r="AC4" s="26" t="s">
        <v>66</v>
      </c>
      <c r="AD4" s="26" t="s">
        <v>66</v>
      </c>
      <c r="AE4" s="26" t="s">
        <v>66</v>
      </c>
      <c r="AF4" s="26" t="s">
        <v>66</v>
      </c>
      <c r="AG4" s="93" t="s">
        <v>65</v>
      </c>
      <c r="AH4" s="26" t="s">
        <v>66</v>
      </c>
      <c r="AI4" s="26" t="s">
        <v>66</v>
      </c>
      <c r="AJ4" s="93" t="s">
        <v>65</v>
      </c>
      <c r="AK4" s="93" t="s">
        <v>65</v>
      </c>
      <c r="AL4" s="26" t="s">
        <v>66</v>
      </c>
      <c r="AM4" s="93" t="s">
        <v>65</v>
      </c>
      <c r="AN4" s="26" t="s">
        <v>66</v>
      </c>
      <c r="AO4" s="26" t="s">
        <v>66</v>
      </c>
      <c r="AP4" s="93" t="s">
        <v>65</v>
      </c>
      <c r="AQ4" s="93" t="s">
        <v>65</v>
      </c>
      <c r="AR4" s="93" t="s">
        <v>65</v>
      </c>
      <c r="AS4" s="26" t="s">
        <v>66</v>
      </c>
      <c r="AT4" s="26" t="s">
        <v>66</v>
      </c>
      <c r="AU4" s="26" t="s">
        <v>66</v>
      </c>
      <c r="AV4" s="94" t="s">
        <v>66</v>
      </c>
      <c r="AW4" s="26"/>
    </row>
    <row r="5">
      <c r="A5" s="92" t="s">
        <v>298</v>
      </c>
      <c r="B5" s="26" t="s">
        <v>299</v>
      </c>
      <c r="C5" s="26" t="s">
        <v>300</v>
      </c>
      <c r="D5" s="26" t="s">
        <v>131</v>
      </c>
      <c r="E5" s="26" t="s">
        <v>131</v>
      </c>
      <c r="F5" s="26" t="s">
        <v>301</v>
      </c>
      <c r="G5" s="26" t="s">
        <v>131</v>
      </c>
      <c r="H5" s="26" t="s">
        <v>131</v>
      </c>
      <c r="I5" s="93">
        <v>0.0</v>
      </c>
      <c r="J5" s="93">
        <v>0.0</v>
      </c>
      <c r="K5" s="93">
        <v>11.0</v>
      </c>
      <c r="L5" s="93" t="s">
        <v>297</v>
      </c>
      <c r="M5" s="93">
        <v>11.0</v>
      </c>
      <c r="N5" s="26" t="s">
        <v>66</v>
      </c>
      <c r="O5" s="93" t="s">
        <v>68</v>
      </c>
      <c r="P5" s="93" t="s">
        <v>68</v>
      </c>
      <c r="Q5" s="26" t="s">
        <v>66</v>
      </c>
      <c r="R5" s="26" t="s">
        <v>66</v>
      </c>
      <c r="S5" s="26" t="s">
        <v>66</v>
      </c>
      <c r="T5" s="26" t="s">
        <v>66</v>
      </c>
      <c r="U5" s="26" t="s">
        <v>66</v>
      </c>
      <c r="V5" s="26" t="s">
        <v>66</v>
      </c>
      <c r="W5" s="26" t="s">
        <v>66</v>
      </c>
      <c r="X5" s="26" t="s">
        <v>66</v>
      </c>
      <c r="Y5" s="26" t="s">
        <v>66</v>
      </c>
      <c r="Z5" s="26" t="s">
        <v>66</v>
      </c>
      <c r="AA5" s="26" t="s">
        <v>66</v>
      </c>
      <c r="AB5" s="26" t="s">
        <v>66</v>
      </c>
      <c r="AC5" s="93" t="s">
        <v>68</v>
      </c>
      <c r="AD5" s="26" t="s">
        <v>66</v>
      </c>
      <c r="AE5" s="26" t="s">
        <v>66</v>
      </c>
      <c r="AF5" s="93" t="s">
        <v>68</v>
      </c>
      <c r="AG5" s="93" t="s">
        <v>68</v>
      </c>
      <c r="AH5" s="26" t="s">
        <v>66</v>
      </c>
      <c r="AI5" s="26" t="s">
        <v>66</v>
      </c>
      <c r="AJ5" s="93" t="s">
        <v>68</v>
      </c>
      <c r="AK5" s="93" t="s">
        <v>68</v>
      </c>
      <c r="AL5" s="26" t="s">
        <v>66</v>
      </c>
      <c r="AM5" s="93" t="s">
        <v>68</v>
      </c>
      <c r="AN5" s="26" t="s">
        <v>66</v>
      </c>
      <c r="AO5" s="26" t="s">
        <v>66</v>
      </c>
      <c r="AP5" s="93" t="s">
        <v>68</v>
      </c>
      <c r="AQ5" s="93" t="s">
        <v>68</v>
      </c>
      <c r="AR5" s="93" t="s">
        <v>68</v>
      </c>
      <c r="AS5" s="26" t="s">
        <v>66</v>
      </c>
      <c r="AT5" s="26" t="s">
        <v>66</v>
      </c>
      <c r="AU5" s="26" t="s">
        <v>66</v>
      </c>
      <c r="AV5" s="94" t="s">
        <v>66</v>
      </c>
      <c r="AW5" s="26"/>
    </row>
    <row r="6">
      <c r="A6" s="92" t="s">
        <v>302</v>
      </c>
      <c r="B6" s="26" t="s">
        <v>303</v>
      </c>
      <c r="C6" s="26" t="s">
        <v>99</v>
      </c>
      <c r="D6" s="26" t="s">
        <v>131</v>
      </c>
      <c r="E6" s="26" t="s">
        <v>304</v>
      </c>
      <c r="F6" s="26" t="s">
        <v>131</v>
      </c>
      <c r="G6" s="26" t="s">
        <v>131</v>
      </c>
      <c r="H6" s="26" t="s">
        <v>131</v>
      </c>
      <c r="I6" s="93">
        <v>0.0</v>
      </c>
      <c r="J6" s="93">
        <v>22.0</v>
      </c>
      <c r="K6" s="93">
        <v>0.0</v>
      </c>
      <c r="L6" s="93" t="s">
        <v>297</v>
      </c>
      <c r="M6" s="93">
        <v>22.0</v>
      </c>
      <c r="N6" s="93" t="s">
        <v>65</v>
      </c>
      <c r="O6" s="93" t="s">
        <v>65</v>
      </c>
      <c r="P6" s="93" t="s">
        <v>65</v>
      </c>
      <c r="Q6" s="93" t="s">
        <v>65</v>
      </c>
      <c r="R6" s="26" t="s">
        <v>66</v>
      </c>
      <c r="S6" s="26" t="s">
        <v>66</v>
      </c>
      <c r="T6" s="26" t="s">
        <v>66</v>
      </c>
      <c r="U6" s="26" t="s">
        <v>66</v>
      </c>
      <c r="V6" s="26" t="s">
        <v>66</v>
      </c>
      <c r="W6" s="26" t="s">
        <v>66</v>
      </c>
      <c r="X6" s="93" t="s">
        <v>65</v>
      </c>
      <c r="Y6" s="93" t="s">
        <v>65</v>
      </c>
      <c r="Z6" s="26" t="s">
        <v>66</v>
      </c>
      <c r="AA6" s="93" t="s">
        <v>65</v>
      </c>
      <c r="AB6" s="93" t="s">
        <v>65</v>
      </c>
      <c r="AC6" s="93" t="s">
        <v>65</v>
      </c>
      <c r="AD6" s="26" t="s">
        <v>66</v>
      </c>
      <c r="AE6" s="26" t="s">
        <v>66</v>
      </c>
      <c r="AF6" s="93" t="s">
        <v>65</v>
      </c>
      <c r="AG6" s="93" t="s">
        <v>65</v>
      </c>
      <c r="AH6" s="93" t="s">
        <v>65</v>
      </c>
      <c r="AI6" s="93" t="s">
        <v>65</v>
      </c>
      <c r="AJ6" s="93" t="s">
        <v>65</v>
      </c>
      <c r="AK6" s="93" t="s">
        <v>65</v>
      </c>
      <c r="AL6" s="93" t="s">
        <v>65</v>
      </c>
      <c r="AM6" s="93" t="s">
        <v>65</v>
      </c>
      <c r="AN6" s="26" t="s">
        <v>66</v>
      </c>
      <c r="AO6" s="93" t="s">
        <v>65</v>
      </c>
      <c r="AP6" s="93" t="s">
        <v>65</v>
      </c>
      <c r="AQ6" s="93" t="s">
        <v>65</v>
      </c>
      <c r="AR6" s="93" t="s">
        <v>65</v>
      </c>
      <c r="AS6" s="26" t="s">
        <v>66</v>
      </c>
      <c r="AT6" s="26" t="s">
        <v>66</v>
      </c>
      <c r="AU6" s="26" t="s">
        <v>66</v>
      </c>
      <c r="AV6" s="95" t="s">
        <v>65</v>
      </c>
      <c r="AW6" s="26"/>
    </row>
    <row r="7">
      <c r="A7" s="92" t="s">
        <v>305</v>
      </c>
      <c r="B7" s="26" t="s">
        <v>306</v>
      </c>
      <c r="C7" s="26" t="s">
        <v>307</v>
      </c>
      <c r="D7" s="26" t="s">
        <v>156</v>
      </c>
      <c r="E7" s="26" t="s">
        <v>308</v>
      </c>
      <c r="F7" s="26" t="s">
        <v>131</v>
      </c>
      <c r="G7" s="26" t="s">
        <v>131</v>
      </c>
      <c r="H7" s="26" t="s">
        <v>131</v>
      </c>
      <c r="I7" s="93">
        <v>1.0</v>
      </c>
      <c r="J7" s="93">
        <v>12.0</v>
      </c>
      <c r="K7" s="93">
        <v>0.0</v>
      </c>
      <c r="L7" s="93" t="s">
        <v>309</v>
      </c>
      <c r="M7" s="93">
        <v>12.0</v>
      </c>
      <c r="N7" s="93" t="s">
        <v>65</v>
      </c>
      <c r="O7" s="26" t="s">
        <v>66</v>
      </c>
      <c r="P7" s="26" t="s">
        <v>66</v>
      </c>
      <c r="Q7" s="26" t="s">
        <v>66</v>
      </c>
      <c r="R7" s="26" t="s">
        <v>66</v>
      </c>
      <c r="S7" s="26" t="s">
        <v>66</v>
      </c>
      <c r="T7" s="26" t="s">
        <v>66</v>
      </c>
      <c r="U7" s="26" t="s">
        <v>66</v>
      </c>
      <c r="V7" s="26" t="s">
        <v>66</v>
      </c>
      <c r="W7" s="26" t="s">
        <v>66</v>
      </c>
      <c r="X7" s="93" t="s">
        <v>65</v>
      </c>
      <c r="Y7" s="26" t="s">
        <v>66</v>
      </c>
      <c r="Z7" s="26" t="s">
        <v>66</v>
      </c>
      <c r="AA7" s="26" t="s">
        <v>66</v>
      </c>
      <c r="AB7" s="26" t="s">
        <v>66</v>
      </c>
      <c r="AC7" s="93" t="s">
        <v>65</v>
      </c>
      <c r="AD7" s="93" t="s">
        <v>65</v>
      </c>
      <c r="AE7" s="26" t="s">
        <v>66</v>
      </c>
      <c r="AF7" s="93" t="s">
        <v>65</v>
      </c>
      <c r="AG7" s="26" t="s">
        <v>66</v>
      </c>
      <c r="AH7" s="26" t="s">
        <v>66</v>
      </c>
      <c r="AI7" s="93" t="s">
        <v>65</v>
      </c>
      <c r="AJ7" s="93" t="s">
        <v>65</v>
      </c>
      <c r="AK7" s="93" t="s">
        <v>67</v>
      </c>
      <c r="AL7" s="26" t="s">
        <v>66</v>
      </c>
      <c r="AM7" s="93" t="s">
        <v>65</v>
      </c>
      <c r="AN7" s="93" t="s">
        <v>65</v>
      </c>
      <c r="AO7" s="26" t="s">
        <v>66</v>
      </c>
      <c r="AP7" s="93" t="s">
        <v>65</v>
      </c>
      <c r="AQ7" s="93" t="s">
        <v>65</v>
      </c>
      <c r="AR7" s="26" t="s">
        <v>66</v>
      </c>
      <c r="AS7" s="26" t="s">
        <v>66</v>
      </c>
      <c r="AT7" s="26" t="s">
        <v>66</v>
      </c>
      <c r="AU7" s="26" t="s">
        <v>66</v>
      </c>
      <c r="AV7" s="94" t="s">
        <v>66</v>
      </c>
      <c r="AW7" s="26"/>
    </row>
    <row r="8">
      <c r="A8" s="92" t="s">
        <v>310</v>
      </c>
      <c r="B8" s="26" t="s">
        <v>311</v>
      </c>
      <c r="C8" s="26" t="s">
        <v>312</v>
      </c>
      <c r="D8" s="26" t="s">
        <v>131</v>
      </c>
      <c r="E8" s="26" t="s">
        <v>313</v>
      </c>
      <c r="F8" s="26" t="s">
        <v>131</v>
      </c>
      <c r="G8" s="26" t="s">
        <v>131</v>
      </c>
      <c r="H8" s="26" t="s">
        <v>131</v>
      </c>
      <c r="I8" s="93">
        <v>0.0</v>
      </c>
      <c r="J8" s="93">
        <v>7.0</v>
      </c>
      <c r="K8" s="93">
        <v>0.0</v>
      </c>
      <c r="L8" s="93" t="s">
        <v>297</v>
      </c>
      <c r="M8" s="93">
        <v>7.0</v>
      </c>
      <c r="N8" s="93" t="s">
        <v>65</v>
      </c>
      <c r="O8" s="93" t="s">
        <v>65</v>
      </c>
      <c r="P8" s="26" t="s">
        <v>66</v>
      </c>
      <c r="Q8" s="26" t="s">
        <v>66</v>
      </c>
      <c r="R8" s="26" t="s">
        <v>66</v>
      </c>
      <c r="S8" s="26" t="s">
        <v>66</v>
      </c>
      <c r="T8" s="26" t="s">
        <v>66</v>
      </c>
      <c r="U8" s="26" t="s">
        <v>66</v>
      </c>
      <c r="V8" s="26" t="s">
        <v>66</v>
      </c>
      <c r="W8" s="26" t="s">
        <v>66</v>
      </c>
      <c r="X8" s="26" t="s">
        <v>66</v>
      </c>
      <c r="Y8" s="26" t="s">
        <v>66</v>
      </c>
      <c r="Z8" s="26" t="s">
        <v>66</v>
      </c>
      <c r="AA8" s="26" t="s">
        <v>66</v>
      </c>
      <c r="AB8" s="26" t="s">
        <v>66</v>
      </c>
      <c r="AC8" s="26" t="s">
        <v>66</v>
      </c>
      <c r="AD8" s="26" t="s">
        <v>66</v>
      </c>
      <c r="AE8" s="26" t="s">
        <v>66</v>
      </c>
      <c r="AF8" s="26" t="s">
        <v>66</v>
      </c>
      <c r="AG8" s="26" t="s">
        <v>66</v>
      </c>
      <c r="AH8" s="26" t="s">
        <v>66</v>
      </c>
      <c r="AI8" s="26" t="s">
        <v>66</v>
      </c>
      <c r="AJ8" s="93" t="s">
        <v>65</v>
      </c>
      <c r="AK8" s="93" t="s">
        <v>65</v>
      </c>
      <c r="AL8" s="26" t="s">
        <v>66</v>
      </c>
      <c r="AM8" s="26" t="s">
        <v>66</v>
      </c>
      <c r="AN8" s="26" t="s">
        <v>66</v>
      </c>
      <c r="AO8" s="26" t="s">
        <v>66</v>
      </c>
      <c r="AP8" s="93" t="s">
        <v>65</v>
      </c>
      <c r="AQ8" s="93" t="s">
        <v>65</v>
      </c>
      <c r="AR8" s="93" t="s">
        <v>65</v>
      </c>
      <c r="AS8" s="26" t="s">
        <v>66</v>
      </c>
      <c r="AT8" s="26" t="s">
        <v>66</v>
      </c>
      <c r="AU8" s="26" t="s">
        <v>66</v>
      </c>
      <c r="AV8" s="94" t="s">
        <v>66</v>
      </c>
      <c r="AW8" s="26"/>
    </row>
    <row r="9">
      <c r="A9" s="92" t="s">
        <v>314</v>
      </c>
      <c r="B9" s="26" t="s">
        <v>315</v>
      </c>
      <c r="C9" s="26" t="s">
        <v>316</v>
      </c>
      <c r="D9" s="26" t="s">
        <v>131</v>
      </c>
      <c r="E9" s="26" t="s">
        <v>317</v>
      </c>
      <c r="F9" s="26" t="s">
        <v>131</v>
      </c>
      <c r="G9" s="26" t="s">
        <v>131</v>
      </c>
      <c r="H9" s="26" t="s">
        <v>131</v>
      </c>
      <c r="I9" s="93">
        <v>0.0</v>
      </c>
      <c r="J9" s="93">
        <v>13.0</v>
      </c>
      <c r="K9" s="93">
        <v>0.0</v>
      </c>
      <c r="L9" s="93" t="s">
        <v>297</v>
      </c>
      <c r="M9" s="93">
        <v>13.0</v>
      </c>
      <c r="N9" s="93" t="s">
        <v>65</v>
      </c>
      <c r="O9" s="93" t="s">
        <v>65</v>
      </c>
      <c r="P9" s="93" t="s">
        <v>65</v>
      </c>
      <c r="Q9" s="26" t="s">
        <v>66</v>
      </c>
      <c r="R9" s="26" t="s">
        <v>66</v>
      </c>
      <c r="S9" s="26" t="s">
        <v>66</v>
      </c>
      <c r="T9" s="26" t="s">
        <v>66</v>
      </c>
      <c r="U9" s="26" t="s">
        <v>66</v>
      </c>
      <c r="V9" s="26" t="s">
        <v>66</v>
      </c>
      <c r="W9" s="26" t="s">
        <v>66</v>
      </c>
      <c r="X9" s="26" t="s">
        <v>66</v>
      </c>
      <c r="Y9" s="93" t="s">
        <v>65</v>
      </c>
      <c r="Z9" s="26" t="s">
        <v>66</v>
      </c>
      <c r="AA9" s="26" t="s">
        <v>66</v>
      </c>
      <c r="AB9" s="26" t="s">
        <v>66</v>
      </c>
      <c r="AC9" s="93" t="s">
        <v>65</v>
      </c>
      <c r="AD9" s="26" t="s">
        <v>66</v>
      </c>
      <c r="AE9" s="26" t="s">
        <v>66</v>
      </c>
      <c r="AF9" s="93" t="s">
        <v>65</v>
      </c>
      <c r="AG9" s="93" t="s">
        <v>65</v>
      </c>
      <c r="AH9" s="26" t="s">
        <v>66</v>
      </c>
      <c r="AI9" s="26" t="s">
        <v>66</v>
      </c>
      <c r="AJ9" s="93" t="s">
        <v>65</v>
      </c>
      <c r="AK9" s="93" t="s">
        <v>65</v>
      </c>
      <c r="AL9" s="26" t="s">
        <v>66</v>
      </c>
      <c r="AM9" s="93" t="s">
        <v>65</v>
      </c>
      <c r="AN9" s="26" t="s">
        <v>66</v>
      </c>
      <c r="AO9" s="26" t="s">
        <v>66</v>
      </c>
      <c r="AP9" s="93" t="s">
        <v>65</v>
      </c>
      <c r="AQ9" s="93" t="s">
        <v>65</v>
      </c>
      <c r="AR9" s="93" t="s">
        <v>65</v>
      </c>
      <c r="AS9" s="26" t="s">
        <v>66</v>
      </c>
      <c r="AT9" s="26" t="s">
        <v>66</v>
      </c>
      <c r="AU9" s="26" t="s">
        <v>66</v>
      </c>
      <c r="AV9" s="94" t="s">
        <v>66</v>
      </c>
      <c r="AW9" s="26"/>
    </row>
    <row r="10">
      <c r="A10" s="92" t="s">
        <v>318</v>
      </c>
      <c r="B10" s="26" t="s">
        <v>319</v>
      </c>
      <c r="C10" s="26" t="s">
        <v>320</v>
      </c>
      <c r="D10" s="26" t="s">
        <v>131</v>
      </c>
      <c r="E10" s="26" t="s">
        <v>321</v>
      </c>
      <c r="F10" s="26" t="s">
        <v>131</v>
      </c>
      <c r="G10" s="26" t="s">
        <v>131</v>
      </c>
      <c r="H10" s="26" t="s">
        <v>131</v>
      </c>
      <c r="I10" s="93">
        <v>0.0</v>
      </c>
      <c r="J10" s="93">
        <v>10.0</v>
      </c>
      <c r="K10" s="93">
        <v>0.0</v>
      </c>
      <c r="L10" s="93" t="s">
        <v>297</v>
      </c>
      <c r="M10" s="93">
        <v>10.0</v>
      </c>
      <c r="N10" s="26" t="s">
        <v>66</v>
      </c>
      <c r="O10" s="26" t="s">
        <v>66</v>
      </c>
      <c r="P10" s="26" t="s">
        <v>66</v>
      </c>
      <c r="Q10" s="26" t="s">
        <v>66</v>
      </c>
      <c r="R10" s="26" t="s">
        <v>66</v>
      </c>
      <c r="S10" s="26" t="s">
        <v>66</v>
      </c>
      <c r="T10" s="26" t="s">
        <v>66</v>
      </c>
      <c r="U10" s="26" t="s">
        <v>66</v>
      </c>
      <c r="V10" s="26" t="s">
        <v>66</v>
      </c>
      <c r="W10" s="26" t="s">
        <v>66</v>
      </c>
      <c r="X10" s="93" t="s">
        <v>65</v>
      </c>
      <c r="Y10" s="93" t="s">
        <v>65</v>
      </c>
      <c r="Z10" s="26" t="s">
        <v>66</v>
      </c>
      <c r="AA10" s="26" t="s">
        <v>66</v>
      </c>
      <c r="AB10" s="26" t="s">
        <v>66</v>
      </c>
      <c r="AC10" s="26" t="s">
        <v>66</v>
      </c>
      <c r="AD10" s="26" t="s">
        <v>66</v>
      </c>
      <c r="AE10" s="26" t="s">
        <v>66</v>
      </c>
      <c r="AF10" s="26" t="s">
        <v>66</v>
      </c>
      <c r="AG10" s="26" t="s">
        <v>66</v>
      </c>
      <c r="AH10" s="26" t="s">
        <v>66</v>
      </c>
      <c r="AI10" s="26" t="s">
        <v>66</v>
      </c>
      <c r="AJ10" s="93" t="s">
        <v>65</v>
      </c>
      <c r="AK10" s="93" t="s">
        <v>65</v>
      </c>
      <c r="AL10" s="93" t="s">
        <v>65</v>
      </c>
      <c r="AM10" s="93" t="s">
        <v>65</v>
      </c>
      <c r="AN10" s="26" t="s">
        <v>66</v>
      </c>
      <c r="AO10" s="93" t="s">
        <v>65</v>
      </c>
      <c r="AP10" s="93" t="s">
        <v>65</v>
      </c>
      <c r="AQ10" s="93" t="s">
        <v>65</v>
      </c>
      <c r="AR10" s="93" t="s">
        <v>65</v>
      </c>
      <c r="AS10" s="26" t="s">
        <v>66</v>
      </c>
      <c r="AT10" s="26" t="s">
        <v>66</v>
      </c>
      <c r="AU10" s="26" t="s">
        <v>66</v>
      </c>
      <c r="AV10" s="94" t="s">
        <v>66</v>
      </c>
      <c r="AW10" s="26"/>
    </row>
    <row r="11">
      <c r="A11" s="92" t="s">
        <v>322</v>
      </c>
      <c r="B11" s="26" t="s">
        <v>323</v>
      </c>
      <c r="C11" s="26" t="s">
        <v>324</v>
      </c>
      <c r="D11" s="26" t="s">
        <v>131</v>
      </c>
      <c r="E11" s="26" t="s">
        <v>325</v>
      </c>
      <c r="F11" s="26" t="s">
        <v>131</v>
      </c>
      <c r="G11" s="26" t="s">
        <v>131</v>
      </c>
      <c r="H11" s="26" t="s">
        <v>131</v>
      </c>
      <c r="I11" s="93">
        <v>0.0</v>
      </c>
      <c r="J11" s="93">
        <v>5.0</v>
      </c>
      <c r="K11" s="93">
        <v>0.0</v>
      </c>
      <c r="L11" s="93" t="s">
        <v>297</v>
      </c>
      <c r="M11" s="93">
        <v>5.0</v>
      </c>
      <c r="N11" s="93" t="s">
        <v>65</v>
      </c>
      <c r="O11" s="26" t="s">
        <v>66</v>
      </c>
      <c r="P11" s="93" t="s">
        <v>65</v>
      </c>
      <c r="Q11" s="26" t="s">
        <v>66</v>
      </c>
      <c r="R11" s="26" t="s">
        <v>66</v>
      </c>
      <c r="S11" s="26" t="s">
        <v>66</v>
      </c>
      <c r="T11" s="26" t="s">
        <v>66</v>
      </c>
      <c r="U11" s="26" t="s">
        <v>66</v>
      </c>
      <c r="V11" s="26" t="s">
        <v>66</v>
      </c>
      <c r="W11" s="26" t="s">
        <v>66</v>
      </c>
      <c r="X11" s="26" t="s">
        <v>66</v>
      </c>
      <c r="Y11" s="26" t="s">
        <v>66</v>
      </c>
      <c r="Z11" s="26" t="s">
        <v>66</v>
      </c>
      <c r="AA11" s="26" t="s">
        <v>66</v>
      </c>
      <c r="AB11" s="93" t="s">
        <v>65</v>
      </c>
      <c r="AC11" s="26" t="s">
        <v>66</v>
      </c>
      <c r="AD11" s="26" t="s">
        <v>66</v>
      </c>
      <c r="AE11" s="26" t="s">
        <v>66</v>
      </c>
      <c r="AF11" s="26" t="s">
        <v>66</v>
      </c>
      <c r="AG11" s="26" t="s">
        <v>66</v>
      </c>
      <c r="AH11" s="26" t="s">
        <v>66</v>
      </c>
      <c r="AI11" s="26" t="s">
        <v>66</v>
      </c>
      <c r="AJ11" s="26" t="s">
        <v>66</v>
      </c>
      <c r="AK11" s="26" t="s">
        <v>66</v>
      </c>
      <c r="AL11" s="26" t="s">
        <v>66</v>
      </c>
      <c r="AM11" s="93" t="s">
        <v>65</v>
      </c>
      <c r="AN11" s="26" t="s">
        <v>66</v>
      </c>
      <c r="AO11" s="26" t="s">
        <v>66</v>
      </c>
      <c r="AP11" s="93" t="s">
        <v>65</v>
      </c>
      <c r="AQ11" s="26" t="s">
        <v>66</v>
      </c>
      <c r="AR11" s="26" t="s">
        <v>66</v>
      </c>
      <c r="AS11" s="26" t="s">
        <v>66</v>
      </c>
      <c r="AT11" s="26" t="s">
        <v>66</v>
      </c>
      <c r="AU11" s="26" t="s">
        <v>66</v>
      </c>
      <c r="AV11" s="94" t="s">
        <v>66</v>
      </c>
      <c r="AW11" s="26"/>
    </row>
    <row r="12">
      <c r="A12" s="92" t="s">
        <v>326</v>
      </c>
      <c r="B12" s="26" t="s">
        <v>327</v>
      </c>
      <c r="C12" s="26" t="s">
        <v>328</v>
      </c>
      <c r="D12" s="26" t="s">
        <v>156</v>
      </c>
      <c r="E12" s="26" t="s">
        <v>329</v>
      </c>
      <c r="F12" s="26" t="s">
        <v>131</v>
      </c>
      <c r="G12" s="26" t="s">
        <v>131</v>
      </c>
      <c r="H12" s="26" t="s">
        <v>131</v>
      </c>
      <c r="I12" s="93">
        <v>1.0</v>
      </c>
      <c r="J12" s="93">
        <v>14.0</v>
      </c>
      <c r="K12" s="93">
        <v>0.0</v>
      </c>
      <c r="L12" s="93" t="s">
        <v>297</v>
      </c>
      <c r="M12" s="93">
        <v>14.0</v>
      </c>
      <c r="N12" s="26" t="s">
        <v>66</v>
      </c>
      <c r="O12" s="93" t="s">
        <v>65</v>
      </c>
      <c r="P12" s="93" t="s">
        <v>65</v>
      </c>
      <c r="Q12" s="26" t="s">
        <v>66</v>
      </c>
      <c r="R12" s="26" t="s">
        <v>66</v>
      </c>
      <c r="S12" s="26" t="s">
        <v>66</v>
      </c>
      <c r="T12" s="26" t="s">
        <v>66</v>
      </c>
      <c r="U12" s="26" t="s">
        <v>66</v>
      </c>
      <c r="V12" s="26" t="s">
        <v>66</v>
      </c>
      <c r="W12" s="26" t="s">
        <v>66</v>
      </c>
      <c r="X12" s="26" t="s">
        <v>66</v>
      </c>
      <c r="Y12" s="26" t="s">
        <v>66</v>
      </c>
      <c r="Z12" s="26" t="s">
        <v>66</v>
      </c>
      <c r="AA12" s="93" t="s">
        <v>65</v>
      </c>
      <c r="AB12" s="26" t="s">
        <v>66</v>
      </c>
      <c r="AC12" s="93" t="s">
        <v>65</v>
      </c>
      <c r="AD12" s="26" t="s">
        <v>66</v>
      </c>
      <c r="AE12" s="26" t="s">
        <v>66</v>
      </c>
      <c r="AF12" s="93" t="s">
        <v>65</v>
      </c>
      <c r="AG12" s="93" t="s">
        <v>65</v>
      </c>
      <c r="AH12" s="26" t="s">
        <v>66</v>
      </c>
      <c r="AI12" s="93" t="s">
        <v>65</v>
      </c>
      <c r="AJ12" s="93" t="s">
        <v>65</v>
      </c>
      <c r="AK12" s="93" t="s">
        <v>67</v>
      </c>
      <c r="AL12" s="93" t="s">
        <v>65</v>
      </c>
      <c r="AM12" s="93" t="s">
        <v>65</v>
      </c>
      <c r="AN12" s="26" t="s">
        <v>66</v>
      </c>
      <c r="AO12" s="26" t="s">
        <v>66</v>
      </c>
      <c r="AP12" s="93" t="s">
        <v>65</v>
      </c>
      <c r="AQ12" s="93" t="s">
        <v>65</v>
      </c>
      <c r="AR12" s="93" t="s">
        <v>65</v>
      </c>
      <c r="AS12" s="26" t="s">
        <v>66</v>
      </c>
      <c r="AT12" s="26" t="s">
        <v>66</v>
      </c>
      <c r="AU12" s="26" t="s">
        <v>66</v>
      </c>
      <c r="AV12" s="94" t="s">
        <v>66</v>
      </c>
      <c r="AW12" s="26"/>
    </row>
    <row r="13">
      <c r="A13" s="96" t="s">
        <v>330</v>
      </c>
      <c r="B13" s="97" t="s">
        <v>331</v>
      </c>
      <c r="C13" s="97" t="s">
        <v>332</v>
      </c>
      <c r="D13" s="97" t="s">
        <v>333</v>
      </c>
      <c r="E13" s="97" t="s">
        <v>131</v>
      </c>
      <c r="F13" s="97" t="s">
        <v>334</v>
      </c>
      <c r="G13" s="97" t="s">
        <v>131</v>
      </c>
      <c r="H13" s="97" t="s">
        <v>131</v>
      </c>
      <c r="I13" s="98">
        <v>5.0</v>
      </c>
      <c r="J13" s="98">
        <v>0.0</v>
      </c>
      <c r="K13" s="98">
        <v>5.0</v>
      </c>
      <c r="L13" s="98" t="s">
        <v>297</v>
      </c>
      <c r="M13" s="98">
        <v>5.0</v>
      </c>
      <c r="N13" s="97" t="s">
        <v>66</v>
      </c>
      <c r="O13" s="97" t="s">
        <v>66</v>
      </c>
      <c r="P13" s="97" t="s">
        <v>66</v>
      </c>
      <c r="Q13" s="97" t="s">
        <v>66</v>
      </c>
      <c r="R13" s="97" t="s">
        <v>66</v>
      </c>
      <c r="S13" s="97" t="s">
        <v>66</v>
      </c>
      <c r="T13" s="97" t="s">
        <v>66</v>
      </c>
      <c r="U13" s="97" t="s">
        <v>66</v>
      </c>
      <c r="V13" s="97" t="s">
        <v>66</v>
      </c>
      <c r="W13" s="97" t="s">
        <v>66</v>
      </c>
      <c r="X13" s="97" t="s">
        <v>66</v>
      </c>
      <c r="Y13" s="97" t="s">
        <v>66</v>
      </c>
      <c r="Z13" s="97" t="s">
        <v>66</v>
      </c>
      <c r="AA13" s="97" t="s">
        <v>66</v>
      </c>
      <c r="AB13" s="97" t="s">
        <v>66</v>
      </c>
      <c r="AC13" s="97" t="s">
        <v>66</v>
      </c>
      <c r="AD13" s="97" t="s">
        <v>66</v>
      </c>
      <c r="AE13" s="97" t="s">
        <v>66</v>
      </c>
      <c r="AF13" s="97" t="s">
        <v>66</v>
      </c>
      <c r="AG13" s="97" t="s">
        <v>66</v>
      </c>
      <c r="AH13" s="97" t="s">
        <v>66</v>
      </c>
      <c r="AI13" s="97" t="s">
        <v>66</v>
      </c>
      <c r="AJ13" s="97" t="s">
        <v>66</v>
      </c>
      <c r="AK13" s="98" t="s">
        <v>75</v>
      </c>
      <c r="AL13" s="97" t="s">
        <v>66</v>
      </c>
      <c r="AM13" s="98" t="s">
        <v>75</v>
      </c>
      <c r="AN13" s="98" t="s">
        <v>75</v>
      </c>
      <c r="AO13" s="98" t="s">
        <v>75</v>
      </c>
      <c r="AP13" s="98" t="s">
        <v>75</v>
      </c>
      <c r="AQ13" s="97" t="s">
        <v>66</v>
      </c>
      <c r="AR13" s="97" t="s">
        <v>66</v>
      </c>
      <c r="AS13" s="97" t="s">
        <v>66</v>
      </c>
      <c r="AT13" s="97" t="s">
        <v>66</v>
      </c>
      <c r="AU13" s="97" t="s">
        <v>66</v>
      </c>
      <c r="AV13" s="99" t="s">
        <v>66</v>
      </c>
      <c r="AW13" s="26"/>
    </row>
    <row r="14">
      <c r="A14" s="26"/>
      <c r="B14" s="26"/>
      <c r="C14" s="26"/>
      <c r="D14" s="26"/>
      <c r="E14" s="26"/>
      <c r="F14" s="26"/>
      <c r="G14" s="26"/>
      <c r="H14" s="26"/>
      <c r="I14" s="26"/>
      <c r="J14" s="26"/>
      <c r="K14" s="26"/>
      <c r="L14" s="26"/>
      <c r="M14" s="26"/>
      <c r="N14" s="26" t="str">
        <f t="shared" ref="N14:AB14" si="1">IF(COUNTIF($D14,"*"&amp;N$3&amp;"*")&gt;0,"T","")&amp;IF(COUNTIF($E14,"*"&amp;N$3&amp;"*")&gt;0,"L","")&amp;IF(COUNTIF($F14,"*"&amp;N$3&amp;"*")&gt;0,"N","")</f>
        <v/>
      </c>
      <c r="O14" s="26" t="str">
        <f t="shared" si="1"/>
        <v/>
      </c>
      <c r="P14" s="26" t="str">
        <f t="shared" si="1"/>
        <v/>
      </c>
      <c r="Q14" s="26" t="str">
        <f t="shared" si="1"/>
        <v/>
      </c>
      <c r="R14" s="26" t="str">
        <f t="shared" si="1"/>
        <v/>
      </c>
      <c r="S14" s="26" t="str">
        <f t="shared" si="1"/>
        <v/>
      </c>
      <c r="T14" s="26" t="str">
        <f t="shared" si="1"/>
        <v/>
      </c>
      <c r="U14" s="26" t="str">
        <f t="shared" si="1"/>
        <v/>
      </c>
      <c r="V14" s="26" t="str">
        <f t="shared" si="1"/>
        <v/>
      </c>
      <c r="W14" s="26" t="str">
        <f t="shared" si="1"/>
        <v/>
      </c>
      <c r="X14" s="26" t="str">
        <f t="shared" si="1"/>
        <v/>
      </c>
      <c r="Y14" s="26" t="str">
        <f t="shared" si="1"/>
        <v/>
      </c>
      <c r="Z14" s="26" t="str">
        <f t="shared" si="1"/>
        <v/>
      </c>
      <c r="AA14" s="26" t="str">
        <f t="shared" si="1"/>
        <v/>
      </c>
      <c r="AB14" s="26" t="str">
        <f t="shared" si="1"/>
        <v/>
      </c>
      <c r="AC14" s="26"/>
      <c r="AD14" s="26"/>
      <c r="AE14" s="26"/>
      <c r="AF14" s="26"/>
      <c r="AG14" s="26"/>
      <c r="AH14" s="26"/>
      <c r="AI14" s="26"/>
      <c r="AJ14" s="26"/>
      <c r="AK14" s="26"/>
      <c r="AL14" s="26"/>
      <c r="AM14" s="26"/>
      <c r="AN14" s="26" t="str">
        <f t="shared" ref="AN14:AQ14" si="2">IF(COUNTIF($D14,"*"&amp;AN$3&amp;"*")&gt;0,"T","")&amp;IF(COUNTIF($E14,"*"&amp;AN$3&amp;"*")&gt;0,"L","")&amp;IF(COUNTIF($F14,"*"&amp;AN$3&amp;"*")&gt;0,"N","")</f>
        <v/>
      </c>
      <c r="AO14" s="26" t="str">
        <f t="shared" si="2"/>
        <v/>
      </c>
      <c r="AP14" s="26" t="str">
        <f t="shared" si="2"/>
        <v/>
      </c>
      <c r="AQ14" s="26" t="str">
        <f t="shared" si="2"/>
        <v/>
      </c>
      <c r="AR14" s="26"/>
      <c r="AS14" s="26" t="str">
        <f t="shared" ref="AS14:AS16" si="5">IF(COUNTIF($D14,"*"&amp;AS$3&amp;"*")&gt;0,"T","")&amp;IF(COUNTIF($E14,"*"&amp;AS$3&amp;"*")&gt;0,"L","")&amp;IF(COUNTIF($F14,"*"&amp;AS$3&amp;"*")&gt;0,"N","")</f>
        <v/>
      </c>
      <c r="AT14" s="26"/>
      <c r="AU14" s="26"/>
      <c r="AV14" s="26"/>
      <c r="AW14" s="26"/>
    </row>
    <row r="15">
      <c r="A15" s="26"/>
      <c r="B15" s="26"/>
      <c r="C15" s="26"/>
      <c r="D15" s="26"/>
      <c r="E15" s="26"/>
      <c r="F15" s="26"/>
      <c r="G15" s="26"/>
      <c r="H15" s="26"/>
      <c r="I15" s="26"/>
      <c r="J15" s="26"/>
      <c r="K15" s="26"/>
      <c r="L15" s="26"/>
      <c r="M15" s="26"/>
      <c r="N15" s="26" t="str">
        <f t="shared" ref="N15:AB15" si="3">IF(COUNTIF($D15,"*"&amp;N$3&amp;"*")&gt;0,"T","")&amp;IF(COUNTIF($E15,"*"&amp;N$3&amp;"*")&gt;0,"L","")&amp;IF(COUNTIF($F15,"*"&amp;N$3&amp;"*")&gt;0,"N","")</f>
        <v/>
      </c>
      <c r="O15" s="26" t="str">
        <f t="shared" si="3"/>
        <v/>
      </c>
      <c r="P15" s="26" t="str">
        <f t="shared" si="3"/>
        <v/>
      </c>
      <c r="Q15" s="26" t="str">
        <f t="shared" si="3"/>
        <v/>
      </c>
      <c r="R15" s="26" t="str">
        <f t="shared" si="3"/>
        <v/>
      </c>
      <c r="S15" s="26" t="str">
        <f t="shared" si="3"/>
        <v/>
      </c>
      <c r="T15" s="26" t="str">
        <f t="shared" si="3"/>
        <v/>
      </c>
      <c r="U15" s="26" t="str">
        <f t="shared" si="3"/>
        <v/>
      </c>
      <c r="V15" s="26" t="str">
        <f t="shared" si="3"/>
        <v/>
      </c>
      <c r="W15" s="26" t="str">
        <f t="shared" si="3"/>
        <v/>
      </c>
      <c r="X15" s="26" t="str">
        <f t="shared" si="3"/>
        <v/>
      </c>
      <c r="Y15" s="26" t="str">
        <f t="shared" si="3"/>
        <v/>
      </c>
      <c r="Z15" s="26" t="str">
        <f t="shared" si="3"/>
        <v/>
      </c>
      <c r="AA15" s="26" t="str">
        <f t="shared" si="3"/>
        <v/>
      </c>
      <c r="AB15" s="26" t="str">
        <f t="shared" si="3"/>
        <v/>
      </c>
      <c r="AC15" s="26"/>
      <c r="AD15" s="26"/>
      <c r="AE15" s="26"/>
      <c r="AF15" s="26"/>
      <c r="AG15" s="26"/>
      <c r="AH15" s="26"/>
      <c r="AI15" s="26"/>
      <c r="AJ15" s="26"/>
      <c r="AK15" s="26"/>
      <c r="AL15" s="26"/>
      <c r="AM15" s="26"/>
      <c r="AN15" s="26" t="str">
        <f t="shared" ref="AN15:AQ15" si="4">IF(COUNTIF($D15,"*"&amp;AN$3&amp;"*")&gt;0,"T","")&amp;IF(COUNTIF($E15,"*"&amp;AN$3&amp;"*")&gt;0,"L","")&amp;IF(COUNTIF($F15,"*"&amp;AN$3&amp;"*")&gt;0,"N","")</f>
        <v/>
      </c>
      <c r="AO15" s="26" t="str">
        <f t="shared" si="4"/>
        <v/>
      </c>
      <c r="AP15" s="26" t="str">
        <f t="shared" si="4"/>
        <v/>
      </c>
      <c r="AQ15" s="26" t="str">
        <f t="shared" si="4"/>
        <v/>
      </c>
      <c r="AR15" s="26"/>
      <c r="AS15" s="26" t="str">
        <f t="shared" si="5"/>
        <v/>
      </c>
      <c r="AT15" s="26"/>
      <c r="AU15" s="26"/>
      <c r="AV15" s="26"/>
      <c r="AW15" s="26"/>
    </row>
    <row r="16">
      <c r="A16" s="26"/>
      <c r="B16" s="26"/>
      <c r="C16" s="26"/>
      <c r="D16" s="26"/>
      <c r="E16" s="26"/>
      <c r="F16" s="26"/>
      <c r="G16" s="26"/>
      <c r="H16" s="26"/>
      <c r="I16" s="26"/>
      <c r="J16" s="26"/>
      <c r="K16" s="26"/>
      <c r="L16" s="26"/>
      <c r="M16" s="26"/>
      <c r="N16" s="26"/>
      <c r="O16" s="26"/>
      <c r="P16" s="26"/>
      <c r="Q16" s="26"/>
      <c r="R16" s="26"/>
      <c r="S16" s="26"/>
      <c r="T16" s="26"/>
      <c r="U16" s="26" t="str">
        <f t="shared" ref="U16:AB16" si="6">IF(COUNTIF($D16,"*"&amp;U$3&amp;"*")&gt;0,"T","")&amp;IF(COUNTIF($E16,"*"&amp;U$3&amp;"*")&gt;0,"L","")&amp;IF(COUNTIF($F16,"*"&amp;U$3&amp;"*")&gt;0,"N","")</f>
        <v/>
      </c>
      <c r="V16" s="26" t="str">
        <f t="shared" si="6"/>
        <v/>
      </c>
      <c r="W16" s="26" t="str">
        <f t="shared" si="6"/>
        <v/>
      </c>
      <c r="X16" s="26" t="str">
        <f t="shared" si="6"/>
        <v/>
      </c>
      <c r="Y16" s="26" t="str">
        <f t="shared" si="6"/>
        <v/>
      </c>
      <c r="Z16" s="26" t="str">
        <f t="shared" si="6"/>
        <v/>
      </c>
      <c r="AA16" s="26" t="str">
        <f t="shared" si="6"/>
        <v/>
      </c>
      <c r="AB16" s="26" t="str">
        <f t="shared" si="6"/>
        <v/>
      </c>
      <c r="AC16" s="26"/>
      <c r="AD16" s="26"/>
      <c r="AE16" s="26"/>
      <c r="AF16" s="26"/>
      <c r="AG16" s="26"/>
      <c r="AH16" s="26"/>
      <c r="AI16" s="26"/>
      <c r="AJ16" s="26"/>
      <c r="AK16" s="26"/>
      <c r="AL16" s="26"/>
      <c r="AM16" s="26"/>
      <c r="AN16" s="26" t="str">
        <f t="shared" ref="AN16:AQ16" si="7">IF(COUNTIF($D16,"*"&amp;AN$3&amp;"*")&gt;0,"T","")&amp;IF(COUNTIF($E16,"*"&amp;AN$3&amp;"*")&gt;0,"L","")&amp;IF(COUNTIF($F16,"*"&amp;AN$3&amp;"*")&gt;0,"N","")</f>
        <v/>
      </c>
      <c r="AO16" s="26" t="str">
        <f t="shared" si="7"/>
        <v/>
      </c>
      <c r="AP16" s="26" t="str">
        <f t="shared" si="7"/>
        <v/>
      </c>
      <c r="AQ16" s="26" t="str">
        <f t="shared" si="7"/>
        <v/>
      </c>
      <c r="AR16" s="26"/>
      <c r="AS16" s="26" t="str">
        <f t="shared" si="5"/>
        <v/>
      </c>
      <c r="AT16" s="26"/>
      <c r="AU16" s="26"/>
      <c r="AV16" s="26"/>
      <c r="AW16" s="26"/>
    </row>
    <row r="17">
      <c r="A17" s="26"/>
      <c r="B17" s="100" t="s">
        <v>23</v>
      </c>
      <c r="C17" s="18" t="s">
        <v>7</v>
      </c>
      <c r="D17" s="18" t="s">
        <v>8</v>
      </c>
      <c r="E17" s="18" t="s">
        <v>9</v>
      </c>
      <c r="F17" s="18" t="s">
        <v>10</v>
      </c>
      <c r="G17" s="18" t="s">
        <v>11</v>
      </c>
      <c r="H17" s="18" t="s">
        <v>12</v>
      </c>
      <c r="I17" s="18" t="s">
        <v>13</v>
      </c>
      <c r="J17" s="18" t="s">
        <v>14</v>
      </c>
      <c r="K17" s="18" t="s">
        <v>15</v>
      </c>
      <c r="L17" s="18" t="s">
        <v>16</v>
      </c>
      <c r="M17" s="18" t="s">
        <v>17</v>
      </c>
      <c r="N17" s="101" t="s">
        <v>18</v>
      </c>
      <c r="O17" s="101" t="s">
        <v>19</v>
      </c>
      <c r="P17" s="18" t="s">
        <v>20</v>
      </c>
      <c r="Q17" s="101" t="s">
        <v>21</v>
      </c>
      <c r="R17" s="19" t="s">
        <v>335</v>
      </c>
      <c r="S17" s="26"/>
      <c r="T17" s="26"/>
      <c r="U17" s="26"/>
      <c r="V17" s="26"/>
      <c r="W17" s="26"/>
      <c r="X17" s="26"/>
      <c r="Y17" s="26"/>
      <c r="Z17" s="26"/>
      <c r="AA17" s="26"/>
      <c r="AB17" s="26"/>
      <c r="AC17" s="26"/>
      <c r="AD17" s="26"/>
      <c r="AE17" s="26"/>
      <c r="AF17" s="26"/>
      <c r="AG17" s="26"/>
      <c r="AH17" s="26"/>
      <c r="AI17" s="26"/>
      <c r="AJ17" s="26"/>
      <c r="AK17" s="26"/>
      <c r="AL17" s="26"/>
      <c r="AM17" s="26"/>
      <c r="AN17" s="26" t="str">
        <f t="shared" ref="AN17:AQ17" si="8">IF(COUNTIF($E17,"*"&amp;AN$3&amp;"*")&gt;0,"T","")&amp;IF(COUNTIF($F17,"*"&amp;AN$3&amp;"*")&gt;0,"L","")&amp;IF(COUNTIF($G17,"*"&amp;AN$3&amp;"*")&gt;0,"N","")</f>
        <v/>
      </c>
      <c r="AO17" s="26" t="str">
        <f t="shared" si="8"/>
        <v/>
      </c>
      <c r="AP17" s="26" t="str">
        <f t="shared" si="8"/>
        <v/>
      </c>
      <c r="AQ17" s="26" t="str">
        <f t="shared" si="8"/>
        <v/>
      </c>
      <c r="AR17" s="26"/>
      <c r="AS17" s="26" t="str">
        <f t="shared" ref="AS17:AS23" si="11">IF(COUNTIF($E17,"*"&amp;AS$3&amp;"*")&gt;0,"T","")&amp;IF(COUNTIF($F17,"*"&amp;AS$3&amp;"*")&gt;0,"L","")&amp;IF(COUNTIF($G17,"*"&amp;AS$3&amp;"*")&gt;0,"N","")</f>
        <v/>
      </c>
      <c r="AT17" s="26"/>
      <c r="AU17" s="26"/>
      <c r="AV17" s="26"/>
      <c r="AW17" s="26"/>
    </row>
    <row r="18">
      <c r="A18" s="26"/>
      <c r="B18" s="102" t="s">
        <v>294</v>
      </c>
      <c r="C18" s="93">
        <v>3.0</v>
      </c>
      <c r="D18" s="93">
        <v>0.0</v>
      </c>
      <c r="E18" s="93">
        <v>0.0</v>
      </c>
      <c r="F18" s="93">
        <v>0.0</v>
      </c>
      <c r="G18" s="93">
        <v>0.0</v>
      </c>
      <c r="H18" s="93">
        <v>0.0</v>
      </c>
      <c r="I18" s="93">
        <v>1.0</v>
      </c>
      <c r="J18" s="93">
        <v>0.0</v>
      </c>
      <c r="K18" s="93">
        <v>2.0</v>
      </c>
      <c r="L18" s="93">
        <v>0.0</v>
      </c>
      <c r="M18" s="93">
        <v>1.0</v>
      </c>
      <c r="N18" s="93">
        <v>3.0</v>
      </c>
      <c r="O18" s="93">
        <v>0.0</v>
      </c>
      <c r="P18" s="93">
        <v>0.0</v>
      </c>
      <c r="Q18" s="93">
        <v>0.0</v>
      </c>
      <c r="R18" s="95">
        <v>10.0</v>
      </c>
      <c r="S18" s="26" t="str">
        <f t="shared" ref="S18:AB18" si="9">IF(COUNTIF($E18,"*"&amp;S$3&amp;"*")&gt;0,"T","")&amp;IF(COUNTIF($F18,"*"&amp;S$3&amp;"*")&gt;0,"L","")&amp;IF(COUNTIF($G18,"*"&amp;S$3&amp;"*")&gt;0,"N","")</f>
        <v/>
      </c>
      <c r="T18" s="26" t="str">
        <f t="shared" si="9"/>
        <v/>
      </c>
      <c r="U18" s="26" t="str">
        <f t="shared" si="9"/>
        <v/>
      </c>
      <c r="V18" s="26" t="str">
        <f t="shared" si="9"/>
        <v/>
      </c>
      <c r="W18" s="26" t="str">
        <f t="shared" si="9"/>
        <v/>
      </c>
      <c r="X18" s="26" t="str">
        <f t="shared" si="9"/>
        <v/>
      </c>
      <c r="Y18" s="26" t="str">
        <f t="shared" si="9"/>
        <v/>
      </c>
      <c r="Z18" s="26" t="str">
        <f t="shared" si="9"/>
        <v/>
      </c>
      <c r="AA18" s="26" t="str">
        <f t="shared" si="9"/>
        <v/>
      </c>
      <c r="AB18" s="26" t="str">
        <f t="shared" si="9"/>
        <v/>
      </c>
      <c r="AC18" s="26"/>
      <c r="AD18" s="26"/>
      <c r="AE18" s="26"/>
      <c r="AF18" s="26"/>
      <c r="AG18" s="26"/>
      <c r="AH18" s="26"/>
      <c r="AI18" s="26"/>
      <c r="AJ18" s="26"/>
      <c r="AK18" s="26"/>
      <c r="AL18" s="26"/>
      <c r="AM18" s="26"/>
      <c r="AN18" s="26" t="str">
        <f t="shared" ref="AN18:AQ18" si="10">IF(COUNTIF($E18,"*"&amp;AN$3&amp;"*")&gt;0,"T","")&amp;IF(COUNTIF($F18,"*"&amp;AN$3&amp;"*")&gt;0,"L","")&amp;IF(COUNTIF($G18,"*"&amp;AN$3&amp;"*")&gt;0,"N","")</f>
        <v/>
      </c>
      <c r="AO18" s="26" t="str">
        <f t="shared" si="10"/>
        <v/>
      </c>
      <c r="AP18" s="26" t="str">
        <f t="shared" si="10"/>
        <v/>
      </c>
      <c r="AQ18" s="26" t="str">
        <f t="shared" si="10"/>
        <v/>
      </c>
      <c r="AR18" s="26"/>
      <c r="AS18" s="26" t="str">
        <f t="shared" si="11"/>
        <v/>
      </c>
      <c r="AT18" s="26"/>
      <c r="AU18" s="26"/>
      <c r="AV18" s="26"/>
      <c r="AW18" s="26"/>
    </row>
    <row r="19">
      <c r="A19" s="26"/>
      <c r="B19" s="102" t="s">
        <v>299</v>
      </c>
      <c r="C19" s="93">
        <v>2.0</v>
      </c>
      <c r="D19" s="93">
        <v>0.0</v>
      </c>
      <c r="E19" s="93">
        <v>0.0</v>
      </c>
      <c r="F19" s="93">
        <v>0.0</v>
      </c>
      <c r="G19" s="93">
        <v>0.0</v>
      </c>
      <c r="H19" s="93">
        <v>0.0</v>
      </c>
      <c r="I19" s="93">
        <v>3.0</v>
      </c>
      <c r="J19" s="93">
        <v>0.0</v>
      </c>
      <c r="K19" s="93">
        <v>2.0</v>
      </c>
      <c r="L19" s="93">
        <v>0.0</v>
      </c>
      <c r="M19" s="93">
        <v>1.0</v>
      </c>
      <c r="N19" s="93">
        <v>3.0</v>
      </c>
      <c r="O19" s="93">
        <v>0.0</v>
      </c>
      <c r="P19" s="93">
        <v>0.0</v>
      </c>
      <c r="Q19" s="93">
        <v>0.0</v>
      </c>
      <c r="R19" s="95">
        <v>11.0</v>
      </c>
      <c r="S19" s="26" t="str">
        <f t="shared" ref="S19:AB19" si="12">IF(COUNTIF($E19,"*"&amp;S$3&amp;"*")&gt;0,"T","")&amp;IF(COUNTIF($F19,"*"&amp;S$3&amp;"*")&gt;0,"L","")&amp;IF(COUNTIF($G19,"*"&amp;S$3&amp;"*")&gt;0,"N","")</f>
        <v/>
      </c>
      <c r="T19" s="26" t="str">
        <f t="shared" si="12"/>
        <v/>
      </c>
      <c r="U19" s="26" t="str">
        <f t="shared" si="12"/>
        <v/>
      </c>
      <c r="V19" s="26" t="str">
        <f t="shared" si="12"/>
        <v/>
      </c>
      <c r="W19" s="26" t="str">
        <f t="shared" si="12"/>
        <v/>
      </c>
      <c r="X19" s="26" t="str">
        <f t="shared" si="12"/>
        <v/>
      </c>
      <c r="Y19" s="26" t="str">
        <f t="shared" si="12"/>
        <v/>
      </c>
      <c r="Z19" s="26" t="str">
        <f t="shared" si="12"/>
        <v/>
      </c>
      <c r="AA19" s="26" t="str">
        <f t="shared" si="12"/>
        <v/>
      </c>
      <c r="AB19" s="26" t="str">
        <f t="shared" si="12"/>
        <v/>
      </c>
      <c r="AC19" s="26"/>
      <c r="AD19" s="26"/>
      <c r="AE19" s="26"/>
      <c r="AF19" s="26"/>
      <c r="AG19" s="26"/>
      <c r="AH19" s="26"/>
      <c r="AI19" s="26"/>
      <c r="AJ19" s="26"/>
      <c r="AK19" s="26"/>
      <c r="AL19" s="26"/>
      <c r="AM19" s="26"/>
      <c r="AN19" s="26" t="str">
        <f t="shared" ref="AN19:AQ19" si="13">IF(COUNTIF($E19,"*"&amp;AN$3&amp;"*")&gt;0,"T","")&amp;IF(COUNTIF($F19,"*"&amp;AN$3&amp;"*")&gt;0,"L","")&amp;IF(COUNTIF($G19,"*"&amp;AN$3&amp;"*")&gt;0,"N","")</f>
        <v/>
      </c>
      <c r="AO19" s="26" t="str">
        <f t="shared" si="13"/>
        <v/>
      </c>
      <c r="AP19" s="26" t="str">
        <f t="shared" si="13"/>
        <v/>
      </c>
      <c r="AQ19" s="26" t="str">
        <f t="shared" si="13"/>
        <v/>
      </c>
      <c r="AR19" s="26"/>
      <c r="AS19" s="26" t="str">
        <f t="shared" si="11"/>
        <v/>
      </c>
      <c r="AT19" s="26"/>
      <c r="AU19" s="26"/>
      <c r="AV19" s="26"/>
      <c r="AW19" s="26"/>
    </row>
    <row r="20">
      <c r="A20" s="26"/>
      <c r="B20" s="102" t="s">
        <v>303</v>
      </c>
      <c r="C20" s="93">
        <v>4.0</v>
      </c>
      <c r="D20" s="93">
        <v>0.0</v>
      </c>
      <c r="E20" s="93">
        <v>0.0</v>
      </c>
      <c r="F20" s="93">
        <v>2.0</v>
      </c>
      <c r="G20" s="93">
        <v>0.0</v>
      </c>
      <c r="H20" s="93">
        <v>1.0</v>
      </c>
      <c r="I20" s="93">
        <v>4.0</v>
      </c>
      <c r="J20" s="93">
        <v>2.0</v>
      </c>
      <c r="K20" s="93">
        <v>2.0</v>
      </c>
      <c r="L20" s="93">
        <v>1.0</v>
      </c>
      <c r="M20" s="93">
        <v>2.0</v>
      </c>
      <c r="N20" s="93">
        <v>3.0</v>
      </c>
      <c r="O20" s="93">
        <v>0.0</v>
      </c>
      <c r="P20" s="93">
        <v>0.0</v>
      </c>
      <c r="Q20" s="93">
        <v>1.0</v>
      </c>
      <c r="R20" s="95">
        <v>22.0</v>
      </c>
      <c r="S20" s="26" t="str">
        <f t="shared" ref="S20:AB20" si="14">IF(COUNTIF($E20,"*"&amp;S$3&amp;"*")&gt;0,"T","")&amp;IF(COUNTIF($F20,"*"&amp;S$3&amp;"*")&gt;0,"L","")&amp;IF(COUNTIF($G20,"*"&amp;S$3&amp;"*")&gt;0,"N","")</f>
        <v/>
      </c>
      <c r="T20" s="26" t="str">
        <f t="shared" si="14"/>
        <v/>
      </c>
      <c r="U20" s="26" t="str">
        <f t="shared" si="14"/>
        <v/>
      </c>
      <c r="V20" s="26" t="str">
        <f t="shared" si="14"/>
        <v/>
      </c>
      <c r="W20" s="26" t="str">
        <f t="shared" si="14"/>
        <v/>
      </c>
      <c r="X20" s="26" t="str">
        <f t="shared" si="14"/>
        <v/>
      </c>
      <c r="Y20" s="26" t="str">
        <f t="shared" si="14"/>
        <v/>
      </c>
      <c r="Z20" s="26" t="str">
        <f t="shared" si="14"/>
        <v/>
      </c>
      <c r="AA20" s="26" t="str">
        <f t="shared" si="14"/>
        <v/>
      </c>
      <c r="AB20" s="26" t="str">
        <f t="shared" si="14"/>
        <v/>
      </c>
      <c r="AC20" s="26"/>
      <c r="AD20" s="26"/>
      <c r="AE20" s="26"/>
      <c r="AF20" s="26"/>
      <c r="AG20" s="26"/>
      <c r="AH20" s="26"/>
      <c r="AI20" s="26"/>
      <c r="AJ20" s="26"/>
      <c r="AK20" s="26"/>
      <c r="AL20" s="26"/>
      <c r="AM20" s="26"/>
      <c r="AN20" s="26" t="str">
        <f t="shared" ref="AN20:AQ20" si="15">IF(COUNTIF($E20,"*"&amp;AN$3&amp;"*")&gt;0,"T","")&amp;IF(COUNTIF($F20,"*"&amp;AN$3&amp;"*")&gt;0,"L","")&amp;IF(COUNTIF($G20,"*"&amp;AN$3&amp;"*")&gt;0,"N","")</f>
        <v/>
      </c>
      <c r="AO20" s="26" t="str">
        <f t="shared" si="15"/>
        <v/>
      </c>
      <c r="AP20" s="26" t="str">
        <f t="shared" si="15"/>
        <v/>
      </c>
      <c r="AQ20" s="26" t="str">
        <f t="shared" si="15"/>
        <v/>
      </c>
      <c r="AR20" s="26"/>
      <c r="AS20" s="26" t="str">
        <f t="shared" si="11"/>
        <v/>
      </c>
      <c r="AT20" s="26"/>
      <c r="AU20" s="26"/>
      <c r="AV20" s="26"/>
      <c r="AW20" s="26"/>
    </row>
    <row r="21">
      <c r="A21" s="26"/>
      <c r="B21" s="102" t="s">
        <v>306</v>
      </c>
      <c r="C21" s="93">
        <v>1.0</v>
      </c>
      <c r="D21" s="93">
        <v>0.0</v>
      </c>
      <c r="E21" s="93">
        <v>0.0</v>
      </c>
      <c r="F21" s="93">
        <v>1.0</v>
      </c>
      <c r="G21" s="93">
        <v>0.0</v>
      </c>
      <c r="H21" s="93">
        <v>0.0</v>
      </c>
      <c r="I21" s="93">
        <v>3.0</v>
      </c>
      <c r="J21" s="93">
        <v>1.0</v>
      </c>
      <c r="K21" s="93">
        <v>2.0</v>
      </c>
      <c r="L21" s="93">
        <v>0.0</v>
      </c>
      <c r="M21" s="93">
        <v>2.0</v>
      </c>
      <c r="N21" s="93">
        <v>2.0</v>
      </c>
      <c r="O21" s="93">
        <v>0.0</v>
      </c>
      <c r="P21" s="93">
        <v>0.0</v>
      </c>
      <c r="Q21" s="93">
        <v>0.0</v>
      </c>
      <c r="R21" s="95">
        <v>12.0</v>
      </c>
      <c r="S21" s="26" t="str">
        <f t="shared" ref="S21:AB21" si="16">IF(COUNTIF($E21,"*"&amp;S$3&amp;"*")&gt;0,"T","")&amp;IF(COUNTIF($F21,"*"&amp;S$3&amp;"*")&gt;0,"L","")&amp;IF(COUNTIF($G21,"*"&amp;S$3&amp;"*")&gt;0,"N","")</f>
        <v/>
      </c>
      <c r="T21" s="26" t="str">
        <f t="shared" si="16"/>
        <v/>
      </c>
      <c r="U21" s="26" t="str">
        <f t="shared" si="16"/>
        <v/>
      </c>
      <c r="V21" s="26" t="str">
        <f t="shared" si="16"/>
        <v/>
      </c>
      <c r="W21" s="26" t="str">
        <f t="shared" si="16"/>
        <v/>
      </c>
      <c r="X21" s="26" t="str">
        <f t="shared" si="16"/>
        <v/>
      </c>
      <c r="Y21" s="26" t="str">
        <f t="shared" si="16"/>
        <v/>
      </c>
      <c r="Z21" s="26" t="str">
        <f t="shared" si="16"/>
        <v/>
      </c>
      <c r="AA21" s="26" t="str">
        <f t="shared" si="16"/>
        <v/>
      </c>
      <c r="AB21" s="26" t="str">
        <f t="shared" si="16"/>
        <v/>
      </c>
      <c r="AC21" s="26"/>
      <c r="AD21" s="26"/>
      <c r="AE21" s="26"/>
      <c r="AF21" s="26"/>
      <c r="AG21" s="26"/>
      <c r="AH21" s="26"/>
      <c r="AI21" s="26"/>
      <c r="AJ21" s="26"/>
      <c r="AK21" s="26"/>
      <c r="AL21" s="26"/>
      <c r="AM21" s="26"/>
      <c r="AN21" s="26" t="str">
        <f t="shared" ref="AN21:AQ21" si="17">IF(COUNTIF($E21,"*"&amp;AN$3&amp;"*")&gt;0,"T","")&amp;IF(COUNTIF($F21,"*"&amp;AN$3&amp;"*")&gt;0,"L","")&amp;IF(COUNTIF($G21,"*"&amp;AN$3&amp;"*")&gt;0,"N","")</f>
        <v/>
      </c>
      <c r="AO21" s="26" t="str">
        <f t="shared" si="17"/>
        <v/>
      </c>
      <c r="AP21" s="26" t="str">
        <f t="shared" si="17"/>
        <v/>
      </c>
      <c r="AQ21" s="26" t="str">
        <f t="shared" si="17"/>
        <v/>
      </c>
      <c r="AR21" s="26"/>
      <c r="AS21" s="26" t="str">
        <f t="shared" si="11"/>
        <v/>
      </c>
      <c r="AT21" s="26"/>
      <c r="AU21" s="26"/>
      <c r="AV21" s="26"/>
      <c r="AW21" s="26"/>
    </row>
    <row r="22">
      <c r="A22" s="26"/>
      <c r="B22" s="102" t="s">
        <v>311</v>
      </c>
      <c r="C22" s="93">
        <v>2.0</v>
      </c>
      <c r="D22" s="93">
        <v>0.0</v>
      </c>
      <c r="E22" s="93">
        <v>0.0</v>
      </c>
      <c r="F22" s="93">
        <v>0.0</v>
      </c>
      <c r="G22" s="93">
        <v>0.0</v>
      </c>
      <c r="H22" s="93">
        <v>0.0</v>
      </c>
      <c r="I22" s="93">
        <v>0.0</v>
      </c>
      <c r="J22" s="93">
        <v>0.0</v>
      </c>
      <c r="K22" s="93">
        <v>2.0</v>
      </c>
      <c r="L22" s="93">
        <v>0.0</v>
      </c>
      <c r="M22" s="93">
        <v>0.0</v>
      </c>
      <c r="N22" s="93">
        <v>3.0</v>
      </c>
      <c r="O22" s="93">
        <v>0.0</v>
      </c>
      <c r="P22" s="93">
        <v>0.0</v>
      </c>
      <c r="Q22" s="93">
        <v>0.0</v>
      </c>
      <c r="R22" s="95">
        <v>7.0</v>
      </c>
      <c r="S22" s="26" t="str">
        <f t="shared" ref="S22:AB22" si="18">IF(COUNTIF($E22,"*"&amp;S$3&amp;"*")&gt;0,"T","")&amp;IF(COUNTIF($F22,"*"&amp;S$3&amp;"*")&gt;0,"L","")&amp;IF(COUNTIF($G22,"*"&amp;S$3&amp;"*")&gt;0,"N","")</f>
        <v/>
      </c>
      <c r="T22" s="26" t="str">
        <f t="shared" si="18"/>
        <v/>
      </c>
      <c r="U22" s="26" t="str">
        <f t="shared" si="18"/>
        <v/>
      </c>
      <c r="V22" s="26" t="str">
        <f t="shared" si="18"/>
        <v/>
      </c>
      <c r="W22" s="26" t="str">
        <f t="shared" si="18"/>
        <v/>
      </c>
      <c r="X22" s="26" t="str">
        <f t="shared" si="18"/>
        <v/>
      </c>
      <c r="Y22" s="26" t="str">
        <f t="shared" si="18"/>
        <v/>
      </c>
      <c r="Z22" s="26" t="str">
        <f t="shared" si="18"/>
        <v/>
      </c>
      <c r="AA22" s="26" t="str">
        <f t="shared" si="18"/>
        <v/>
      </c>
      <c r="AB22" s="26" t="str">
        <f t="shared" si="18"/>
        <v/>
      </c>
      <c r="AC22" s="26"/>
      <c r="AD22" s="26"/>
      <c r="AE22" s="26"/>
      <c r="AF22" s="26"/>
      <c r="AG22" s="26"/>
      <c r="AH22" s="26"/>
      <c r="AI22" s="26"/>
      <c r="AJ22" s="26"/>
      <c r="AK22" s="26"/>
      <c r="AL22" s="26"/>
      <c r="AM22" s="26"/>
      <c r="AN22" s="26" t="str">
        <f t="shared" ref="AN22:AQ22" si="19">IF(COUNTIF($E22,"*"&amp;AN$3&amp;"*")&gt;0,"T","")&amp;IF(COUNTIF($F22,"*"&amp;AN$3&amp;"*")&gt;0,"L","")&amp;IF(COUNTIF($G22,"*"&amp;AN$3&amp;"*")&gt;0,"N","")</f>
        <v/>
      </c>
      <c r="AO22" s="26" t="str">
        <f t="shared" si="19"/>
        <v/>
      </c>
      <c r="AP22" s="26" t="str">
        <f t="shared" si="19"/>
        <v/>
      </c>
      <c r="AQ22" s="26" t="str">
        <f t="shared" si="19"/>
        <v/>
      </c>
      <c r="AR22" s="26"/>
      <c r="AS22" s="26" t="str">
        <f t="shared" si="11"/>
        <v/>
      </c>
      <c r="AT22" s="26"/>
      <c r="AU22" s="26"/>
      <c r="AV22" s="26"/>
      <c r="AW22" s="26"/>
    </row>
    <row r="23">
      <c r="A23" s="26"/>
      <c r="B23" s="102" t="s">
        <v>315</v>
      </c>
      <c r="C23" s="93">
        <v>3.0</v>
      </c>
      <c r="D23" s="93">
        <v>0.0</v>
      </c>
      <c r="E23" s="93">
        <v>0.0</v>
      </c>
      <c r="F23" s="93">
        <v>1.0</v>
      </c>
      <c r="G23" s="93">
        <v>0.0</v>
      </c>
      <c r="H23" s="93">
        <v>0.0</v>
      </c>
      <c r="I23" s="93">
        <v>3.0</v>
      </c>
      <c r="J23" s="93">
        <v>0.0</v>
      </c>
      <c r="K23" s="93">
        <v>2.0</v>
      </c>
      <c r="L23" s="93">
        <v>0.0</v>
      </c>
      <c r="M23" s="93">
        <v>1.0</v>
      </c>
      <c r="N23" s="93">
        <v>3.0</v>
      </c>
      <c r="O23" s="93">
        <v>0.0</v>
      </c>
      <c r="P23" s="93">
        <v>0.0</v>
      </c>
      <c r="Q23" s="93">
        <v>0.0</v>
      </c>
      <c r="R23" s="95">
        <v>13.0</v>
      </c>
      <c r="S23" s="26" t="str">
        <f t="shared" ref="S23:AB23" si="20">IF(COUNTIF($E23,"*"&amp;S$3&amp;"*")&gt;0,"T","")&amp;IF(COUNTIF($F23,"*"&amp;S$3&amp;"*")&gt;0,"L","")&amp;IF(COUNTIF($G23,"*"&amp;S$3&amp;"*")&gt;0,"N","")</f>
        <v/>
      </c>
      <c r="T23" s="26" t="str">
        <f t="shared" si="20"/>
        <v/>
      </c>
      <c r="U23" s="26" t="str">
        <f t="shared" si="20"/>
        <v/>
      </c>
      <c r="V23" s="26" t="str">
        <f t="shared" si="20"/>
        <v/>
      </c>
      <c r="W23" s="26" t="str">
        <f t="shared" si="20"/>
        <v/>
      </c>
      <c r="X23" s="26" t="str">
        <f t="shared" si="20"/>
        <v/>
      </c>
      <c r="Y23" s="26" t="str">
        <f t="shared" si="20"/>
        <v/>
      </c>
      <c r="Z23" s="26" t="str">
        <f t="shared" si="20"/>
        <v/>
      </c>
      <c r="AA23" s="26" t="str">
        <f t="shared" si="20"/>
        <v/>
      </c>
      <c r="AB23" s="26" t="str">
        <f t="shared" si="20"/>
        <v/>
      </c>
      <c r="AC23" s="26"/>
      <c r="AD23" s="26"/>
      <c r="AE23" s="26"/>
      <c r="AF23" s="26"/>
      <c r="AG23" s="26"/>
      <c r="AH23" s="26"/>
      <c r="AI23" s="26"/>
      <c r="AJ23" s="26"/>
      <c r="AK23" s="26"/>
      <c r="AL23" s="26"/>
      <c r="AM23" s="26"/>
      <c r="AN23" s="26" t="str">
        <f t="shared" ref="AN23:AQ23" si="21">IF(COUNTIF($E23,"*"&amp;AN$3&amp;"*")&gt;0,"T","")&amp;IF(COUNTIF($F23,"*"&amp;AN$3&amp;"*")&gt;0,"L","")&amp;IF(COUNTIF($G23,"*"&amp;AN$3&amp;"*")&gt;0,"N","")</f>
        <v/>
      </c>
      <c r="AO23" s="26" t="str">
        <f t="shared" si="21"/>
        <v/>
      </c>
      <c r="AP23" s="26" t="str">
        <f t="shared" si="21"/>
        <v/>
      </c>
      <c r="AQ23" s="26" t="str">
        <f t="shared" si="21"/>
        <v/>
      </c>
      <c r="AR23" s="26"/>
      <c r="AS23" s="26" t="str">
        <f t="shared" si="11"/>
        <v/>
      </c>
      <c r="AT23" s="26"/>
      <c r="AU23" s="26"/>
      <c r="AV23" s="26"/>
      <c r="AW23" s="26"/>
    </row>
    <row r="24">
      <c r="A24" s="26"/>
      <c r="B24" s="102" t="s">
        <v>319</v>
      </c>
      <c r="C24" s="93">
        <v>0.0</v>
      </c>
      <c r="D24" s="93">
        <v>0.0</v>
      </c>
      <c r="E24" s="93">
        <v>0.0</v>
      </c>
      <c r="F24" s="93">
        <v>2.0</v>
      </c>
      <c r="G24" s="93">
        <v>0.0</v>
      </c>
      <c r="H24" s="93">
        <v>0.0</v>
      </c>
      <c r="I24" s="93">
        <v>0.0</v>
      </c>
      <c r="J24" s="93">
        <v>0.0</v>
      </c>
      <c r="K24" s="93">
        <v>2.0</v>
      </c>
      <c r="L24" s="93">
        <v>1.0</v>
      </c>
      <c r="M24" s="93">
        <v>2.0</v>
      </c>
      <c r="N24" s="93">
        <v>3.0</v>
      </c>
      <c r="O24" s="93">
        <v>0.0</v>
      </c>
      <c r="P24" s="93">
        <v>0.0</v>
      </c>
      <c r="Q24" s="93">
        <v>0.0</v>
      </c>
      <c r="R24" s="95">
        <v>10.0</v>
      </c>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row>
    <row r="25">
      <c r="A25" s="26"/>
      <c r="B25" s="102" t="s">
        <v>323</v>
      </c>
      <c r="C25" s="93">
        <v>2.0</v>
      </c>
      <c r="D25" s="93">
        <v>0.0</v>
      </c>
      <c r="E25" s="93">
        <v>0.0</v>
      </c>
      <c r="F25" s="93">
        <v>0.0</v>
      </c>
      <c r="G25" s="93">
        <v>0.0</v>
      </c>
      <c r="H25" s="93">
        <v>0.0</v>
      </c>
      <c r="I25" s="93">
        <v>1.0</v>
      </c>
      <c r="J25" s="93">
        <v>0.0</v>
      </c>
      <c r="K25" s="93">
        <v>0.0</v>
      </c>
      <c r="L25" s="93">
        <v>0.0</v>
      </c>
      <c r="M25" s="93">
        <v>1.0</v>
      </c>
      <c r="N25" s="93">
        <v>1.0</v>
      </c>
      <c r="O25" s="93">
        <v>0.0</v>
      </c>
      <c r="P25" s="93">
        <v>0.0</v>
      </c>
      <c r="Q25" s="93">
        <v>0.0</v>
      </c>
      <c r="R25" s="95">
        <v>5.0</v>
      </c>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row>
    <row r="26">
      <c r="A26" s="26"/>
      <c r="B26" s="102" t="s">
        <v>327</v>
      </c>
      <c r="C26" s="93">
        <v>2.0</v>
      </c>
      <c r="D26" s="93">
        <v>0.0</v>
      </c>
      <c r="E26" s="93">
        <v>0.0</v>
      </c>
      <c r="F26" s="93">
        <v>0.0</v>
      </c>
      <c r="G26" s="93">
        <v>0.0</v>
      </c>
      <c r="H26" s="93">
        <v>1.0</v>
      </c>
      <c r="I26" s="93">
        <v>3.0</v>
      </c>
      <c r="J26" s="93">
        <v>1.0</v>
      </c>
      <c r="K26" s="93">
        <v>2.0</v>
      </c>
      <c r="L26" s="93">
        <v>1.0</v>
      </c>
      <c r="M26" s="93">
        <v>1.0</v>
      </c>
      <c r="N26" s="93">
        <v>3.0</v>
      </c>
      <c r="O26" s="93">
        <v>0.0</v>
      </c>
      <c r="P26" s="93">
        <v>0.0</v>
      </c>
      <c r="Q26" s="93">
        <v>0.0</v>
      </c>
      <c r="R26" s="95">
        <v>14.0</v>
      </c>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row>
    <row r="27">
      <c r="A27" s="26"/>
      <c r="B27" s="102" t="s">
        <v>331</v>
      </c>
      <c r="C27" s="93">
        <v>0.0</v>
      </c>
      <c r="D27" s="93">
        <v>0.0</v>
      </c>
      <c r="E27" s="93">
        <v>0.0</v>
      </c>
      <c r="F27" s="93">
        <v>0.0</v>
      </c>
      <c r="G27" s="93">
        <v>0.0</v>
      </c>
      <c r="H27" s="93">
        <v>0.0</v>
      </c>
      <c r="I27" s="93">
        <v>0.0</v>
      </c>
      <c r="J27" s="93">
        <v>0.0</v>
      </c>
      <c r="K27" s="93">
        <v>1.0</v>
      </c>
      <c r="L27" s="93">
        <v>0.0</v>
      </c>
      <c r="M27" s="93">
        <v>3.0</v>
      </c>
      <c r="N27" s="93">
        <v>1.0</v>
      </c>
      <c r="O27" s="93">
        <v>0.0</v>
      </c>
      <c r="P27" s="93">
        <v>0.0</v>
      </c>
      <c r="Q27" s="93">
        <v>0.0</v>
      </c>
      <c r="R27" s="95">
        <v>5.0</v>
      </c>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row>
    <row r="28">
      <c r="A28" s="26"/>
      <c r="B28" s="100" t="s">
        <v>335</v>
      </c>
      <c r="C28" s="18">
        <v>19.0</v>
      </c>
      <c r="D28" s="18">
        <v>0.0</v>
      </c>
      <c r="E28" s="18">
        <v>0.0</v>
      </c>
      <c r="F28" s="18">
        <v>6.0</v>
      </c>
      <c r="G28" s="18">
        <v>0.0</v>
      </c>
      <c r="H28" s="18">
        <v>2.0</v>
      </c>
      <c r="I28" s="18">
        <v>18.0</v>
      </c>
      <c r="J28" s="18">
        <v>4.0</v>
      </c>
      <c r="K28" s="18">
        <v>17.0</v>
      </c>
      <c r="L28" s="18">
        <v>3.0</v>
      </c>
      <c r="M28" s="18">
        <v>14.0</v>
      </c>
      <c r="N28" s="18">
        <v>25.0</v>
      </c>
      <c r="O28" s="18">
        <v>0.0</v>
      </c>
      <c r="P28" s="18">
        <v>0.0</v>
      </c>
      <c r="Q28" s="18">
        <v>1.0</v>
      </c>
      <c r="R28" s="19">
        <v>109.0</v>
      </c>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row>
    <row r="29">
      <c r="A29" s="26"/>
      <c r="B29" s="103" t="s">
        <v>336</v>
      </c>
      <c r="C29" s="104">
        <v>1.9</v>
      </c>
      <c r="D29" s="105">
        <v>0.0</v>
      </c>
      <c r="E29" s="105">
        <v>0.0</v>
      </c>
      <c r="F29" s="105">
        <v>0.6</v>
      </c>
      <c r="G29" s="105">
        <v>0.0</v>
      </c>
      <c r="H29" s="105">
        <v>0.2</v>
      </c>
      <c r="I29" s="105">
        <v>1.8</v>
      </c>
      <c r="J29" s="105">
        <v>0.4</v>
      </c>
      <c r="K29" s="105">
        <v>1.7</v>
      </c>
      <c r="L29" s="105">
        <v>0.3</v>
      </c>
      <c r="M29" s="105">
        <v>1.4</v>
      </c>
      <c r="N29" s="105">
        <v>2.5</v>
      </c>
      <c r="O29" s="105">
        <v>0.0</v>
      </c>
      <c r="P29" s="105">
        <v>0.0</v>
      </c>
      <c r="Q29" s="105">
        <v>0.1</v>
      </c>
      <c r="R29" s="106">
        <v>10.9</v>
      </c>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row>
    <row r="30">
      <c r="A30" s="26"/>
      <c r="B30" s="100" t="s">
        <v>337</v>
      </c>
      <c r="C30" s="107">
        <v>0.8</v>
      </c>
      <c r="D30" s="107">
        <v>0.0</v>
      </c>
      <c r="E30" s="107">
        <v>0.0</v>
      </c>
      <c r="F30" s="107">
        <v>0.4</v>
      </c>
      <c r="G30" s="107">
        <v>0.0</v>
      </c>
      <c r="H30" s="107">
        <v>0.2</v>
      </c>
      <c r="I30" s="107">
        <v>0.7</v>
      </c>
      <c r="J30" s="107">
        <v>0.3</v>
      </c>
      <c r="K30" s="107">
        <v>0.9</v>
      </c>
      <c r="L30" s="107">
        <v>0.3</v>
      </c>
      <c r="M30" s="107">
        <v>0.9</v>
      </c>
      <c r="N30" s="107">
        <v>1.0</v>
      </c>
      <c r="O30" s="107">
        <v>0.0</v>
      </c>
      <c r="P30" s="107">
        <v>0.0</v>
      </c>
      <c r="Q30" s="107">
        <v>0.1</v>
      </c>
      <c r="R30" s="108"/>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row>
  </sheetData>
  <mergeCells count="24">
    <mergeCell ref="M2:M3"/>
    <mergeCell ref="N2:R2"/>
    <mergeCell ref="A1:AP1"/>
    <mergeCell ref="A2:A3"/>
    <mergeCell ref="B2:B3"/>
    <mergeCell ref="C2:C3"/>
    <mergeCell ref="D2:D3"/>
    <mergeCell ref="E2:E3"/>
    <mergeCell ref="F2:F3"/>
    <mergeCell ref="G2:G3"/>
    <mergeCell ref="H2:H3"/>
    <mergeCell ref="I2:I3"/>
    <mergeCell ref="J2:J3"/>
    <mergeCell ref="K2:K3"/>
    <mergeCell ref="L2:L3"/>
    <mergeCell ref="S2:T2"/>
    <mergeCell ref="U2:W2"/>
    <mergeCell ref="X2:Y2"/>
    <mergeCell ref="AB2:AG2"/>
    <mergeCell ref="AH2:AI2"/>
    <mergeCell ref="AJ2:AK2"/>
    <mergeCell ref="AM2:AO2"/>
    <mergeCell ref="AP2:AR2"/>
    <mergeCell ref="AT2:AU2"/>
  </mergeCells>
  <hyperlinks>
    <hyperlink r:id="rId1" ref="A1"/>
    <hyperlink r:id="rId2" ref="A4"/>
    <hyperlink r:id="rId3" ref="A5"/>
    <hyperlink r:id="rId4" ref="A6"/>
    <hyperlink r:id="rId5" ref="A7"/>
    <hyperlink r:id="rId6" ref="A8"/>
    <hyperlink r:id="rId7" ref="A9"/>
    <hyperlink r:id="rId8" ref="A10"/>
    <hyperlink r:id="rId9" ref="A11"/>
    <hyperlink r:id="rId10" ref="A12"/>
    <hyperlink r:id="rId11" ref="A13"/>
  </hyperlinks>
  <drawing r:id="rId1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75"/>
    <col customWidth="1" min="2" max="2" width="24.13"/>
    <col customWidth="1" min="3" max="3" width="21.5"/>
    <col customWidth="1" min="4" max="4" width="19.75"/>
    <col customWidth="1" min="5" max="5" width="18.63"/>
    <col customWidth="1" min="6" max="6" width="19.38"/>
    <col customWidth="1" min="7" max="7" width="21.75"/>
    <col customWidth="1" min="9" max="9" width="15.75"/>
    <col customWidth="1" min="10" max="10" width="15.13"/>
    <col customWidth="1" min="11" max="11" width="14.13"/>
    <col customWidth="1" min="12" max="12" width="13.63"/>
    <col customWidth="1" min="13" max="13" width="13.13"/>
    <col customWidth="1" min="14" max="14" width="14.13"/>
    <col customWidth="1" min="15" max="16" width="14.0"/>
    <col customWidth="1" min="18" max="19" width="12.63"/>
    <col customWidth="1" min="28" max="28" width="14.88"/>
    <col customWidth="1" min="34" max="34" width="14.5"/>
    <col customWidth="1" min="35" max="35" width="13.25"/>
  </cols>
  <sheetData>
    <row r="1">
      <c r="A1" s="14" t="s">
        <v>338</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6"/>
    </row>
    <row r="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row>
    <row r="3">
      <c r="A3" s="97"/>
      <c r="B3" s="97"/>
      <c r="C3" s="97"/>
      <c r="D3" s="97"/>
      <c r="E3" s="97"/>
      <c r="F3" s="97"/>
      <c r="G3" s="97"/>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row>
    <row r="4">
      <c r="A4" s="109" t="s">
        <v>339</v>
      </c>
      <c r="B4" s="110"/>
      <c r="C4" s="111"/>
      <c r="D4" s="111"/>
      <c r="E4" s="111"/>
      <c r="F4" s="111"/>
      <c r="G4" s="110"/>
      <c r="I4" s="112" t="s">
        <v>340</v>
      </c>
      <c r="J4" s="113"/>
      <c r="K4" s="113"/>
      <c r="L4" s="113"/>
      <c r="M4" s="113"/>
      <c r="N4" s="113"/>
      <c r="O4" s="113"/>
      <c r="P4" s="114"/>
      <c r="R4" s="112" t="s">
        <v>341</v>
      </c>
      <c r="S4" s="115"/>
    </row>
    <row r="5">
      <c r="A5" s="109" t="s">
        <v>342</v>
      </c>
      <c r="B5" s="116" t="s">
        <v>343</v>
      </c>
      <c r="C5" s="117" t="s">
        <v>271</v>
      </c>
      <c r="D5" s="117" t="s">
        <v>269</v>
      </c>
      <c r="E5" s="117" t="s">
        <v>344</v>
      </c>
      <c r="F5" s="117" t="s">
        <v>260</v>
      </c>
      <c r="G5" s="118" t="s">
        <v>275</v>
      </c>
      <c r="I5" s="109" t="s">
        <v>345</v>
      </c>
      <c r="J5" s="116" t="s">
        <v>343</v>
      </c>
      <c r="K5" s="117" t="s">
        <v>346</v>
      </c>
      <c r="L5" s="117" t="s">
        <v>271</v>
      </c>
      <c r="M5" s="117" t="s">
        <v>269</v>
      </c>
      <c r="N5" s="117" t="s">
        <v>344</v>
      </c>
      <c r="O5" s="117" t="s">
        <v>260</v>
      </c>
      <c r="P5" s="118" t="s">
        <v>275</v>
      </c>
      <c r="R5" s="109" t="s">
        <v>345</v>
      </c>
      <c r="S5" s="118" t="s">
        <v>343</v>
      </c>
    </row>
    <row r="6">
      <c r="A6" s="119">
        <v>44927.0</v>
      </c>
      <c r="B6" s="120">
        <v>1364692.0</v>
      </c>
      <c r="C6" s="39">
        <v>43469.0</v>
      </c>
      <c r="D6" s="39">
        <v>323602.0</v>
      </c>
      <c r="E6" s="39">
        <v>155155.0</v>
      </c>
      <c r="F6" s="39">
        <v>223379.0</v>
      </c>
      <c r="G6" s="48">
        <v>112729.0</v>
      </c>
      <c r="I6" s="42">
        <v>2023.0</v>
      </c>
      <c r="J6" s="120">
        <v>161020.0</v>
      </c>
      <c r="K6" s="121" t="s">
        <v>347</v>
      </c>
      <c r="L6" s="39">
        <v>8816.0</v>
      </c>
      <c r="M6" s="39">
        <v>46549.0</v>
      </c>
      <c r="N6" s="39">
        <v>15173.0</v>
      </c>
      <c r="O6" s="39">
        <v>24065.0</v>
      </c>
      <c r="P6" s="48">
        <v>12141.0</v>
      </c>
      <c r="R6" s="42">
        <v>2023.0</v>
      </c>
      <c r="S6" s="122">
        <v>3.6807042603403306</v>
      </c>
    </row>
    <row r="7">
      <c r="A7" s="123">
        <v>45291.0</v>
      </c>
      <c r="B7" s="124">
        <v>1525712.0</v>
      </c>
      <c r="C7" s="39">
        <v>52285.0</v>
      </c>
      <c r="D7" s="39">
        <v>370151.0</v>
      </c>
      <c r="E7" s="39">
        <v>170328.0</v>
      </c>
      <c r="F7" s="39">
        <v>247444.0</v>
      </c>
      <c r="G7" s="48">
        <v>124870.0</v>
      </c>
      <c r="I7" s="53">
        <v>2024.0</v>
      </c>
      <c r="J7" s="125">
        <v>177028.0</v>
      </c>
      <c r="K7" s="126">
        <v>9.941622158738046</v>
      </c>
      <c r="L7" s="56">
        <v>36318.0</v>
      </c>
      <c r="M7" s="56">
        <v>37413.0</v>
      </c>
      <c r="N7" s="56">
        <v>15845.0</v>
      </c>
      <c r="O7" s="56">
        <v>23584.0</v>
      </c>
      <c r="P7" s="54">
        <v>10971.0</v>
      </c>
      <c r="R7" s="53">
        <v>2024.0</v>
      </c>
      <c r="S7" s="127">
        <v>4.5978432790293065</v>
      </c>
    </row>
    <row r="8">
      <c r="A8" s="128">
        <v>45655.0</v>
      </c>
      <c r="B8" s="125">
        <v>1702740.0</v>
      </c>
      <c r="C8" s="56">
        <v>88603.0</v>
      </c>
      <c r="D8" s="56">
        <v>407564.0</v>
      </c>
      <c r="E8" s="56">
        <v>186173.0</v>
      </c>
      <c r="F8" s="56">
        <v>271028.0</v>
      </c>
      <c r="G8" s="54">
        <v>135841.0</v>
      </c>
    </row>
    <row r="11">
      <c r="A11" s="112" t="s">
        <v>348</v>
      </c>
      <c r="B11" s="113"/>
      <c r="C11" s="113"/>
      <c r="D11" s="113"/>
      <c r="E11" s="113"/>
      <c r="F11" s="113"/>
      <c r="G11" s="114"/>
      <c r="I11" s="112" t="s">
        <v>349</v>
      </c>
      <c r="J11" s="113"/>
      <c r="K11" s="113"/>
      <c r="L11" s="113"/>
      <c r="M11" s="113"/>
      <c r="N11" s="113"/>
      <c r="O11" s="113"/>
      <c r="P11" s="114"/>
    </row>
    <row r="12">
      <c r="A12" s="112" t="s">
        <v>342</v>
      </c>
      <c r="B12" s="116" t="s">
        <v>343</v>
      </c>
      <c r="C12" s="129" t="s">
        <v>271</v>
      </c>
      <c r="D12" s="129" t="s">
        <v>269</v>
      </c>
      <c r="E12" s="129" t="s">
        <v>344</v>
      </c>
      <c r="F12" s="129" t="s">
        <v>260</v>
      </c>
      <c r="G12" s="130" t="s">
        <v>275</v>
      </c>
      <c r="I12" s="112" t="s">
        <v>345</v>
      </c>
      <c r="J12" s="116" t="s">
        <v>343</v>
      </c>
      <c r="K12" s="129" t="s">
        <v>346</v>
      </c>
      <c r="L12" s="129" t="s">
        <v>271</v>
      </c>
      <c r="M12" s="129" t="s">
        <v>269</v>
      </c>
      <c r="N12" s="129" t="s">
        <v>344</v>
      </c>
      <c r="O12" s="129" t="s">
        <v>260</v>
      </c>
      <c r="P12" s="130" t="s">
        <v>275</v>
      </c>
    </row>
    <row r="13">
      <c r="A13" s="119">
        <v>44927.0</v>
      </c>
      <c r="B13" s="124">
        <v>5294949.0</v>
      </c>
      <c r="C13" s="39">
        <v>188331.0</v>
      </c>
      <c r="D13" s="39">
        <v>1065203.0</v>
      </c>
      <c r="E13" s="39">
        <v>714483.0</v>
      </c>
      <c r="F13" s="39">
        <v>867867.0</v>
      </c>
      <c r="G13" s="48">
        <v>462256.0</v>
      </c>
      <c r="I13" s="42">
        <v>2023.0</v>
      </c>
      <c r="J13" s="120">
        <v>592667.0</v>
      </c>
      <c r="K13" s="121" t="s">
        <v>347</v>
      </c>
      <c r="L13" s="39">
        <v>49206.0</v>
      </c>
      <c r="M13" s="39">
        <v>118444.0</v>
      </c>
      <c r="N13" s="39">
        <v>79511.0</v>
      </c>
      <c r="O13" s="39">
        <v>80200.0</v>
      </c>
      <c r="P13" s="48">
        <v>54060.0</v>
      </c>
    </row>
    <row r="14">
      <c r="A14" s="123">
        <v>45291.0</v>
      </c>
      <c r="B14" s="124">
        <v>5887616.0</v>
      </c>
      <c r="C14" s="39">
        <v>237537.0</v>
      </c>
      <c r="D14" s="39">
        <v>1183647.0</v>
      </c>
      <c r="E14" s="39">
        <v>793994.0</v>
      </c>
      <c r="F14" s="39">
        <v>948067.0</v>
      </c>
      <c r="G14" s="48">
        <v>516316.0</v>
      </c>
      <c r="I14" s="53">
        <v>2024.0</v>
      </c>
      <c r="J14" s="125">
        <v>813947.0</v>
      </c>
      <c r="K14" s="126">
        <v>37.336311959329606</v>
      </c>
      <c r="L14" s="56">
        <v>195961.0</v>
      </c>
      <c r="M14" s="56">
        <v>110606.0</v>
      </c>
      <c r="N14" s="56">
        <v>101618.0</v>
      </c>
      <c r="O14" s="56">
        <v>103215.0</v>
      </c>
      <c r="P14" s="54">
        <v>59066.0</v>
      </c>
    </row>
    <row r="15">
      <c r="A15" s="128">
        <v>45655.0</v>
      </c>
      <c r="B15" s="125">
        <v>6701563.0</v>
      </c>
      <c r="C15" s="56">
        <v>433498.0</v>
      </c>
      <c r="D15" s="56">
        <v>1294253.0</v>
      </c>
      <c r="E15" s="56">
        <v>895612.0</v>
      </c>
      <c r="F15" s="56">
        <v>1051282.0</v>
      </c>
      <c r="G15" s="54">
        <v>575382.0</v>
      </c>
    </row>
    <row r="16">
      <c r="I16" s="131"/>
      <c r="J16" s="131"/>
      <c r="K16" s="131"/>
      <c r="L16" s="131"/>
      <c r="M16" s="131"/>
      <c r="N16" s="131"/>
      <c r="O16" s="131"/>
      <c r="P16" s="131"/>
      <c r="Q16" s="131"/>
      <c r="R16" s="131"/>
      <c r="S16" s="131"/>
    </row>
    <row r="17">
      <c r="A17" s="132" t="s">
        <v>350</v>
      </c>
    </row>
    <row r="20">
      <c r="A20" s="112" t="s">
        <v>351</v>
      </c>
      <c r="B20" s="133"/>
      <c r="C20" s="133"/>
      <c r="D20" s="133"/>
      <c r="E20" s="133"/>
      <c r="F20" s="115"/>
    </row>
    <row r="21">
      <c r="A21" s="112" t="s">
        <v>345</v>
      </c>
      <c r="B21" s="129" t="s">
        <v>352</v>
      </c>
      <c r="C21" s="129" t="s">
        <v>353</v>
      </c>
      <c r="D21" s="129" t="s">
        <v>354</v>
      </c>
      <c r="E21" s="129" t="s">
        <v>249</v>
      </c>
      <c r="F21" s="130" t="s">
        <v>355</v>
      </c>
    </row>
    <row r="22">
      <c r="A22" s="134">
        <v>2023.0</v>
      </c>
      <c r="B22" s="50">
        <v>324851.0</v>
      </c>
      <c r="C22" s="50">
        <v>128034.0</v>
      </c>
      <c r="D22" s="50">
        <v>63967.0</v>
      </c>
      <c r="E22" s="50">
        <v>72488.0</v>
      </c>
      <c r="F22" s="51">
        <v>14185.0</v>
      </c>
    </row>
    <row r="23">
      <c r="A23" s="53">
        <v>2024.0</v>
      </c>
      <c r="B23" s="56">
        <v>418618.0</v>
      </c>
      <c r="C23" s="56">
        <v>148123.0</v>
      </c>
      <c r="D23" s="56">
        <v>160481.0</v>
      </c>
      <c r="E23" s="56">
        <v>86550.0</v>
      </c>
      <c r="F23" s="54">
        <v>10048.0</v>
      </c>
    </row>
    <row r="24">
      <c r="A24" s="112" t="s">
        <v>346</v>
      </c>
      <c r="B24" s="135">
        <f t="shared" ref="B24:F24" si="1">(B23-B22)*100/B22</f>
        <v>28.86461793</v>
      </c>
      <c r="C24" s="135">
        <f t="shared" si="1"/>
        <v>15.6903635</v>
      </c>
      <c r="D24" s="135">
        <f t="shared" si="1"/>
        <v>150.880923</v>
      </c>
      <c r="E24" s="135">
        <f t="shared" si="1"/>
        <v>19.39907295</v>
      </c>
      <c r="F24" s="136">
        <f t="shared" si="1"/>
        <v>-29.1646105</v>
      </c>
    </row>
    <row r="27">
      <c r="A27" s="116" t="s">
        <v>356</v>
      </c>
      <c r="B27" s="129"/>
      <c r="C27" s="115"/>
      <c r="E27" s="116" t="s">
        <v>357</v>
      </c>
      <c r="F27" s="129"/>
      <c r="G27" s="115"/>
    </row>
    <row r="28">
      <c r="A28" s="112" t="s">
        <v>211</v>
      </c>
      <c r="B28" s="129" t="s">
        <v>241</v>
      </c>
      <c r="C28" s="130" t="s">
        <v>358</v>
      </c>
      <c r="E28" s="112" t="s">
        <v>211</v>
      </c>
      <c r="F28" s="129" t="s">
        <v>241</v>
      </c>
      <c r="G28" s="130" t="s">
        <v>358</v>
      </c>
    </row>
    <row r="29">
      <c r="A29" s="52">
        <v>1.0</v>
      </c>
      <c r="B29" s="39" t="s">
        <v>271</v>
      </c>
      <c r="C29" s="51">
        <v>128236.0</v>
      </c>
      <c r="E29" s="52">
        <v>1.0</v>
      </c>
      <c r="F29" s="39" t="s">
        <v>271</v>
      </c>
      <c r="G29" s="51">
        <v>62619.0</v>
      </c>
    </row>
    <row r="30">
      <c r="A30" s="52">
        <v>2.0</v>
      </c>
      <c r="B30" s="39" t="s">
        <v>269</v>
      </c>
      <c r="C30" s="48">
        <v>14901.0</v>
      </c>
      <c r="E30" s="52">
        <v>2.0</v>
      </c>
      <c r="F30" s="39" t="s">
        <v>344</v>
      </c>
      <c r="G30" s="48">
        <v>7343.0</v>
      </c>
    </row>
    <row r="31">
      <c r="A31" s="52">
        <v>3.0</v>
      </c>
      <c r="B31" s="39" t="s">
        <v>359</v>
      </c>
      <c r="C31" s="48">
        <v>4661.0</v>
      </c>
      <c r="E31" s="52">
        <v>3.0</v>
      </c>
      <c r="F31" s="39" t="s">
        <v>269</v>
      </c>
      <c r="G31" s="48">
        <v>7118.0</v>
      </c>
    </row>
    <row r="32">
      <c r="A32" s="52">
        <v>4.0</v>
      </c>
      <c r="B32" s="39" t="s">
        <v>260</v>
      </c>
      <c r="C32" s="48">
        <v>3110.0</v>
      </c>
      <c r="E32" s="52">
        <v>4.0</v>
      </c>
      <c r="F32" s="39" t="s">
        <v>260</v>
      </c>
      <c r="G32" s="48">
        <v>6931.0</v>
      </c>
    </row>
    <row r="33">
      <c r="A33" s="52">
        <v>5.0</v>
      </c>
      <c r="B33" s="39" t="s">
        <v>344</v>
      </c>
      <c r="C33" s="48">
        <v>1855.0</v>
      </c>
      <c r="E33" s="52">
        <v>5.0</v>
      </c>
      <c r="F33" s="39" t="s">
        <v>265</v>
      </c>
      <c r="G33" s="48">
        <v>3191.0</v>
      </c>
    </row>
    <row r="34">
      <c r="A34" s="52">
        <v>6.0</v>
      </c>
      <c r="B34" s="39" t="s">
        <v>265</v>
      </c>
      <c r="C34" s="48">
        <v>1207.0</v>
      </c>
      <c r="E34" s="52">
        <v>6.0</v>
      </c>
      <c r="F34" s="39" t="s">
        <v>275</v>
      </c>
      <c r="G34" s="48">
        <v>1916.0</v>
      </c>
    </row>
    <row r="35">
      <c r="A35" s="52">
        <v>7.0</v>
      </c>
      <c r="B35" s="39" t="s">
        <v>270</v>
      </c>
      <c r="C35" s="48">
        <v>941.0</v>
      </c>
      <c r="E35" s="52">
        <v>7.0</v>
      </c>
      <c r="F35" s="39" t="s">
        <v>272</v>
      </c>
      <c r="G35" s="48">
        <v>1509.0</v>
      </c>
    </row>
    <row r="36">
      <c r="A36" s="52">
        <v>8.0</v>
      </c>
      <c r="B36" s="39" t="s">
        <v>280</v>
      </c>
      <c r="C36" s="48">
        <v>714.0</v>
      </c>
      <c r="E36" s="52">
        <v>8.0</v>
      </c>
      <c r="F36" s="39" t="s">
        <v>257</v>
      </c>
      <c r="G36" s="48">
        <v>766.0</v>
      </c>
    </row>
    <row r="37">
      <c r="A37" s="52">
        <v>9.0</v>
      </c>
      <c r="B37" s="39" t="s">
        <v>262</v>
      </c>
      <c r="C37" s="48">
        <v>704.0</v>
      </c>
      <c r="E37" s="52">
        <v>9.0</v>
      </c>
      <c r="F37" s="39" t="s">
        <v>280</v>
      </c>
      <c r="G37" s="48">
        <v>740.0</v>
      </c>
    </row>
    <row r="38">
      <c r="A38" s="52">
        <v>10.0</v>
      </c>
      <c r="B38" s="39" t="s">
        <v>360</v>
      </c>
      <c r="C38" s="48">
        <v>675.0</v>
      </c>
      <c r="E38" s="52">
        <v>10.0</v>
      </c>
      <c r="F38" s="39" t="s">
        <v>262</v>
      </c>
      <c r="G38" s="48">
        <v>737.0</v>
      </c>
    </row>
    <row r="39">
      <c r="A39" s="52">
        <v>11.0</v>
      </c>
      <c r="B39" s="39" t="s">
        <v>272</v>
      </c>
      <c r="C39" s="48">
        <v>546.0</v>
      </c>
      <c r="E39" s="52">
        <v>11.0</v>
      </c>
      <c r="F39" s="39" t="s">
        <v>359</v>
      </c>
      <c r="G39" s="48">
        <v>703.0</v>
      </c>
    </row>
    <row r="40">
      <c r="A40" s="52">
        <v>12.0</v>
      </c>
      <c r="B40" s="39" t="s">
        <v>257</v>
      </c>
      <c r="C40" s="48">
        <v>516.0</v>
      </c>
      <c r="E40" s="52">
        <v>12.0</v>
      </c>
      <c r="F40" s="39" t="s">
        <v>360</v>
      </c>
      <c r="G40" s="48">
        <v>687.0</v>
      </c>
    </row>
    <row r="41">
      <c r="A41" s="52">
        <v>13.0</v>
      </c>
      <c r="B41" s="39" t="s">
        <v>275</v>
      </c>
      <c r="C41" s="48">
        <v>409.0</v>
      </c>
      <c r="E41" s="52">
        <v>13.0</v>
      </c>
      <c r="F41" s="39" t="s">
        <v>270</v>
      </c>
      <c r="G41" s="48">
        <v>592.0</v>
      </c>
    </row>
    <row r="42">
      <c r="A42" s="52">
        <v>14.0</v>
      </c>
      <c r="B42" s="39" t="s">
        <v>267</v>
      </c>
      <c r="C42" s="48">
        <v>356.0</v>
      </c>
      <c r="E42" s="52">
        <v>14.0</v>
      </c>
      <c r="F42" s="39" t="s">
        <v>268</v>
      </c>
      <c r="G42" s="48">
        <v>577.0</v>
      </c>
    </row>
    <row r="43">
      <c r="A43" s="52">
        <v>15.0</v>
      </c>
      <c r="B43" s="39" t="s">
        <v>268</v>
      </c>
      <c r="C43" s="48">
        <v>288.0</v>
      </c>
      <c r="E43" s="52">
        <v>15.0</v>
      </c>
      <c r="F43" s="39" t="s">
        <v>264</v>
      </c>
      <c r="G43" s="48">
        <v>403.0</v>
      </c>
    </row>
    <row r="44">
      <c r="A44" s="52">
        <v>16.0</v>
      </c>
      <c r="B44" s="39" t="s">
        <v>263</v>
      </c>
      <c r="C44" s="48">
        <v>255.0</v>
      </c>
      <c r="E44" s="52">
        <v>16.0</v>
      </c>
      <c r="F44" s="39" t="s">
        <v>267</v>
      </c>
      <c r="G44" s="48">
        <v>366.0</v>
      </c>
    </row>
    <row r="45">
      <c r="A45" s="52">
        <v>17.0</v>
      </c>
      <c r="B45" s="39" t="s">
        <v>258</v>
      </c>
      <c r="C45" s="48">
        <v>174.0</v>
      </c>
      <c r="E45" s="52">
        <v>17.0</v>
      </c>
      <c r="F45" s="39" t="s">
        <v>261</v>
      </c>
      <c r="G45" s="48">
        <v>306.0</v>
      </c>
    </row>
    <row r="46">
      <c r="A46" s="52">
        <v>18.0</v>
      </c>
      <c r="B46" s="39" t="s">
        <v>261</v>
      </c>
      <c r="C46" s="48">
        <v>146.0</v>
      </c>
      <c r="E46" s="52">
        <v>18.0</v>
      </c>
      <c r="F46" s="39" t="s">
        <v>361</v>
      </c>
      <c r="G46" s="48">
        <v>273.0</v>
      </c>
    </row>
    <row r="47">
      <c r="A47" s="52">
        <v>19.0</v>
      </c>
      <c r="B47" s="39" t="s">
        <v>259</v>
      </c>
      <c r="C47" s="48">
        <v>134.0</v>
      </c>
      <c r="E47" s="52">
        <v>19.0</v>
      </c>
      <c r="F47" s="39" t="s">
        <v>263</v>
      </c>
      <c r="G47" s="48">
        <v>269.0</v>
      </c>
    </row>
    <row r="48">
      <c r="A48" s="52">
        <v>20.0</v>
      </c>
      <c r="B48" s="39" t="s">
        <v>274</v>
      </c>
      <c r="C48" s="48">
        <v>120.0</v>
      </c>
      <c r="E48" s="52">
        <v>20.0</v>
      </c>
      <c r="F48" s="39" t="s">
        <v>276</v>
      </c>
      <c r="G48" s="48">
        <v>231.0</v>
      </c>
    </row>
    <row r="49">
      <c r="A49" s="52">
        <v>21.0</v>
      </c>
      <c r="B49" s="39" t="s">
        <v>276</v>
      </c>
      <c r="C49" s="48">
        <v>88.0</v>
      </c>
      <c r="E49" s="52">
        <v>21.0</v>
      </c>
      <c r="F49" s="39" t="s">
        <v>274</v>
      </c>
      <c r="G49" s="48">
        <v>229.0</v>
      </c>
    </row>
    <row r="50">
      <c r="A50" s="52">
        <v>22.0</v>
      </c>
      <c r="B50" s="39" t="s">
        <v>264</v>
      </c>
      <c r="C50" s="48">
        <v>85.0</v>
      </c>
      <c r="E50" s="52">
        <v>22.0</v>
      </c>
      <c r="F50" s="39" t="s">
        <v>273</v>
      </c>
      <c r="G50" s="48">
        <v>219.0</v>
      </c>
    </row>
    <row r="51">
      <c r="A51" s="52">
        <v>23.0</v>
      </c>
      <c r="B51" s="39" t="s">
        <v>273</v>
      </c>
      <c r="C51" s="48">
        <v>75.0</v>
      </c>
      <c r="E51" s="52">
        <v>23.0</v>
      </c>
      <c r="F51" s="39" t="s">
        <v>259</v>
      </c>
      <c r="G51" s="48">
        <v>150.0</v>
      </c>
    </row>
    <row r="52">
      <c r="A52" s="52">
        <v>24.0</v>
      </c>
      <c r="B52" s="39" t="s">
        <v>277</v>
      </c>
      <c r="C52" s="48">
        <v>47.0</v>
      </c>
      <c r="E52" s="52">
        <v>24.0</v>
      </c>
      <c r="F52" s="39" t="s">
        <v>278</v>
      </c>
      <c r="G52" s="48">
        <v>125.0</v>
      </c>
    </row>
    <row r="53">
      <c r="A53" s="52">
        <v>25.0</v>
      </c>
      <c r="B53" s="39" t="s">
        <v>361</v>
      </c>
      <c r="C53" s="48">
        <v>46.0</v>
      </c>
      <c r="E53" s="52">
        <v>25.0</v>
      </c>
      <c r="F53" s="39" t="s">
        <v>258</v>
      </c>
      <c r="G53" s="48">
        <v>125.0</v>
      </c>
    </row>
    <row r="54">
      <c r="A54" s="52">
        <v>26.0</v>
      </c>
      <c r="B54" s="39" t="s">
        <v>278</v>
      </c>
      <c r="C54" s="48">
        <v>36.0</v>
      </c>
      <c r="E54" s="52">
        <v>26.0</v>
      </c>
      <c r="F54" s="39" t="s">
        <v>277</v>
      </c>
      <c r="G54" s="48">
        <v>104.0</v>
      </c>
    </row>
    <row r="55">
      <c r="A55" s="52">
        <v>27.0</v>
      </c>
      <c r="B55" s="39" t="s">
        <v>362</v>
      </c>
      <c r="C55" s="48">
        <v>36.0</v>
      </c>
      <c r="E55" s="52">
        <v>27.0</v>
      </c>
      <c r="F55" s="39" t="s">
        <v>281</v>
      </c>
      <c r="G55" s="48">
        <v>69.0</v>
      </c>
    </row>
    <row r="56">
      <c r="A56" s="52">
        <v>28.0</v>
      </c>
      <c r="B56" s="39" t="s">
        <v>281</v>
      </c>
      <c r="C56" s="48">
        <v>35.0</v>
      </c>
      <c r="E56" s="52">
        <v>28.0</v>
      </c>
      <c r="F56" s="39" t="s">
        <v>362</v>
      </c>
      <c r="G56" s="48">
        <v>37.0</v>
      </c>
    </row>
    <row r="57">
      <c r="A57" s="52">
        <v>29.0</v>
      </c>
      <c r="B57" s="39" t="s">
        <v>363</v>
      </c>
      <c r="C57" s="48">
        <v>22.0</v>
      </c>
      <c r="E57" s="52">
        <v>29.0</v>
      </c>
      <c r="F57" s="39" t="s">
        <v>363</v>
      </c>
      <c r="G57" s="48">
        <v>29.0</v>
      </c>
    </row>
    <row r="58">
      <c r="A58" s="52">
        <v>30.0</v>
      </c>
      <c r="B58" s="39" t="s">
        <v>364</v>
      </c>
      <c r="C58" s="48">
        <v>20.0</v>
      </c>
      <c r="E58" s="52">
        <v>30.0</v>
      </c>
      <c r="F58" s="39" t="s">
        <v>364</v>
      </c>
      <c r="G58" s="48">
        <v>24.0</v>
      </c>
    </row>
    <row r="59">
      <c r="A59" s="52">
        <v>31.0</v>
      </c>
      <c r="B59" s="39" t="s">
        <v>365</v>
      </c>
      <c r="C59" s="48">
        <v>17.0</v>
      </c>
      <c r="E59" s="52">
        <v>31.0</v>
      </c>
      <c r="F59" s="39" t="s">
        <v>365</v>
      </c>
      <c r="G59" s="48">
        <v>22.0</v>
      </c>
    </row>
    <row r="60">
      <c r="A60" s="52">
        <v>32.0</v>
      </c>
      <c r="B60" s="39" t="s">
        <v>366</v>
      </c>
      <c r="C60" s="48">
        <v>14.0</v>
      </c>
      <c r="E60" s="52">
        <v>32.0</v>
      </c>
      <c r="F60" s="39" t="s">
        <v>366</v>
      </c>
      <c r="G60" s="48">
        <v>20.0</v>
      </c>
    </row>
    <row r="61">
      <c r="A61" s="52">
        <v>33.0</v>
      </c>
      <c r="B61" s="39" t="s">
        <v>367</v>
      </c>
      <c r="C61" s="48">
        <v>4.0</v>
      </c>
      <c r="E61" s="52">
        <v>33.0</v>
      </c>
      <c r="F61" s="39" t="s">
        <v>367</v>
      </c>
      <c r="G61" s="48">
        <v>9.0</v>
      </c>
    </row>
    <row r="62">
      <c r="A62" s="52">
        <v>34.0</v>
      </c>
      <c r="B62" s="39" t="s">
        <v>368</v>
      </c>
      <c r="C62" s="48">
        <v>4.0</v>
      </c>
      <c r="E62" s="52">
        <v>34.0</v>
      </c>
      <c r="F62" s="39" t="s">
        <v>369</v>
      </c>
      <c r="G62" s="48">
        <v>1.0</v>
      </c>
    </row>
    <row r="63">
      <c r="A63" s="52">
        <v>35.0</v>
      </c>
      <c r="B63" s="39" t="s">
        <v>369</v>
      </c>
      <c r="C63" s="48">
        <v>3.0</v>
      </c>
      <c r="E63" s="52">
        <v>35.0</v>
      </c>
      <c r="F63" s="39" t="s">
        <v>370</v>
      </c>
      <c r="G63" s="48">
        <v>0.0</v>
      </c>
    </row>
    <row r="64">
      <c r="A64" s="52">
        <v>36.0</v>
      </c>
      <c r="B64" s="39" t="s">
        <v>371</v>
      </c>
      <c r="C64" s="48">
        <v>1.0</v>
      </c>
      <c r="E64" s="52">
        <v>36.0</v>
      </c>
      <c r="F64" s="39" t="s">
        <v>372</v>
      </c>
      <c r="G64" s="48">
        <v>0.0</v>
      </c>
    </row>
    <row r="65">
      <c r="A65" s="52">
        <v>37.0</v>
      </c>
      <c r="B65" s="39" t="s">
        <v>370</v>
      </c>
      <c r="C65" s="48">
        <v>0.0</v>
      </c>
      <c r="E65" s="52">
        <v>37.0</v>
      </c>
      <c r="F65" s="39" t="s">
        <v>368</v>
      </c>
      <c r="G65" s="48">
        <v>0.0</v>
      </c>
    </row>
    <row r="66">
      <c r="A66" s="52">
        <v>38.0</v>
      </c>
      <c r="B66" s="39" t="s">
        <v>372</v>
      </c>
      <c r="C66" s="54">
        <v>0.0</v>
      </c>
      <c r="E66" s="52">
        <v>38.0</v>
      </c>
      <c r="F66" s="39" t="s">
        <v>371</v>
      </c>
      <c r="G66" s="54">
        <v>0.0</v>
      </c>
    </row>
    <row r="67">
      <c r="A67" s="112" t="s">
        <v>335</v>
      </c>
      <c r="B67" s="129"/>
      <c r="C67" s="130">
        <v>160481.0</v>
      </c>
      <c r="E67" s="112" t="s">
        <v>335</v>
      </c>
      <c r="F67" s="129"/>
      <c r="G67" s="130">
        <v>98440.0</v>
      </c>
    </row>
    <row r="70">
      <c r="A70" s="41" t="s">
        <v>373</v>
      </c>
    </row>
    <row r="72">
      <c r="A72" s="137" t="s">
        <v>345</v>
      </c>
      <c r="B72" s="138" t="s">
        <v>374</v>
      </c>
      <c r="C72" s="139" t="s">
        <v>375</v>
      </c>
    </row>
    <row r="73">
      <c r="A73" s="140">
        <v>2024.0</v>
      </c>
      <c r="B73" s="141">
        <v>287042.0</v>
      </c>
      <c r="C73" s="142">
        <v>441383.0</v>
      </c>
    </row>
    <row r="74">
      <c r="A74" s="143" t="s">
        <v>376</v>
      </c>
      <c r="B74" s="144">
        <v>39.40584137007928</v>
      </c>
      <c r="C74" s="145">
        <v>60.59415862992072</v>
      </c>
    </row>
    <row r="76">
      <c r="A76" s="39" t="s">
        <v>377</v>
      </c>
    </row>
    <row r="77">
      <c r="A77" s="39" t="s">
        <v>378</v>
      </c>
    </row>
    <row r="80">
      <c r="A80" s="112" t="s">
        <v>379</v>
      </c>
      <c r="B80" s="115"/>
    </row>
    <row r="81">
      <c r="A81" s="109" t="s">
        <v>342</v>
      </c>
      <c r="B81" s="146" t="s">
        <v>380</v>
      </c>
    </row>
    <row r="82">
      <c r="A82" s="147">
        <v>45292.0</v>
      </c>
      <c r="B82" s="48">
        <v>99.0</v>
      </c>
    </row>
    <row r="83">
      <c r="A83" s="147">
        <v>45383.0</v>
      </c>
      <c r="B83" s="48">
        <v>99.0</v>
      </c>
    </row>
    <row r="84">
      <c r="A84" s="147">
        <v>45474.0</v>
      </c>
      <c r="B84" s="48">
        <v>99.0</v>
      </c>
    </row>
    <row r="85">
      <c r="A85" s="148">
        <v>45566.0</v>
      </c>
      <c r="B85" s="54">
        <v>99.0</v>
      </c>
    </row>
    <row r="88">
      <c r="A88" s="149" t="s">
        <v>381</v>
      </c>
    </row>
  </sheetData>
  <mergeCells count="2">
    <mergeCell ref="A1:AV1"/>
    <mergeCell ref="A17:S17"/>
  </mergeCells>
  <hyperlinks>
    <hyperlink r:id="rId1" ref="A1"/>
    <hyperlink r:id="rId2" ref="A88"/>
  </hyperlinks>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50" t="s">
        <v>382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6"/>
    </row>
    <row r="2">
      <c r="A2" s="151" t="s">
        <v>283</v>
      </c>
      <c r="B2" s="152" t="s">
        <v>23</v>
      </c>
      <c r="C2" s="152" t="s">
        <v>383</v>
      </c>
      <c r="D2" s="152" t="s">
        <v>285</v>
      </c>
      <c r="E2" s="152" t="s">
        <v>286</v>
      </c>
      <c r="F2" s="152" t="s">
        <v>287</v>
      </c>
      <c r="G2" s="152" t="s">
        <v>122</v>
      </c>
      <c r="H2" s="152" t="s">
        <v>123</v>
      </c>
      <c r="I2" s="152" t="s">
        <v>26</v>
      </c>
      <c r="J2" s="152" t="s">
        <v>27</v>
      </c>
      <c r="K2" s="152" t="s">
        <v>28</v>
      </c>
      <c r="L2" s="152" t="s">
        <v>291</v>
      </c>
      <c r="M2" s="152" t="s">
        <v>292</v>
      </c>
      <c r="N2" s="17" t="s">
        <v>7</v>
      </c>
      <c r="O2" s="15"/>
      <c r="P2" s="15"/>
      <c r="Q2" s="15"/>
      <c r="R2" s="16"/>
      <c r="S2" s="17" t="s">
        <v>8</v>
      </c>
      <c r="T2" s="16"/>
      <c r="U2" s="18" t="s">
        <v>9</v>
      </c>
      <c r="V2" s="15"/>
      <c r="W2" s="16"/>
      <c r="X2" s="18" t="s">
        <v>10</v>
      </c>
      <c r="Y2" s="16"/>
      <c r="Z2" s="19" t="s">
        <v>11</v>
      </c>
      <c r="AA2" s="19" t="s">
        <v>12</v>
      </c>
      <c r="AB2" s="18" t="s">
        <v>13</v>
      </c>
      <c r="AC2" s="15"/>
      <c r="AD2" s="15"/>
      <c r="AE2" s="15"/>
      <c r="AF2" s="15"/>
      <c r="AG2" s="16"/>
      <c r="AH2" s="18" t="s">
        <v>14</v>
      </c>
      <c r="AI2" s="16"/>
      <c r="AJ2" s="18" t="s">
        <v>15</v>
      </c>
      <c r="AK2" s="16"/>
      <c r="AL2" s="19" t="s">
        <v>16</v>
      </c>
      <c r="AM2" s="18" t="s">
        <v>17</v>
      </c>
      <c r="AN2" s="15"/>
      <c r="AO2" s="16"/>
      <c r="AP2" s="18" t="s">
        <v>18</v>
      </c>
      <c r="AQ2" s="15"/>
      <c r="AR2" s="15"/>
      <c r="AS2" s="35" t="s">
        <v>19</v>
      </c>
      <c r="AT2" s="17" t="s">
        <v>20</v>
      </c>
      <c r="AU2" s="16"/>
      <c r="AV2" s="87" t="s">
        <v>21</v>
      </c>
    </row>
    <row r="3">
      <c r="A3" s="89"/>
      <c r="B3" s="90"/>
      <c r="C3" s="90"/>
      <c r="D3" s="90"/>
      <c r="E3" s="90"/>
      <c r="F3" s="90"/>
      <c r="G3" s="90"/>
      <c r="H3" s="90"/>
      <c r="I3" s="90"/>
      <c r="J3" s="90"/>
      <c r="K3" s="90"/>
      <c r="L3" s="90"/>
      <c r="M3" s="90"/>
      <c r="N3" s="87" t="s">
        <v>29</v>
      </c>
      <c r="O3" s="87" t="s">
        <v>30</v>
      </c>
      <c r="P3" s="87" t="s">
        <v>31</v>
      </c>
      <c r="Q3" s="87" t="s">
        <v>32</v>
      </c>
      <c r="R3" s="87" t="s">
        <v>33</v>
      </c>
      <c r="S3" s="87" t="s">
        <v>34</v>
      </c>
      <c r="T3" s="87" t="s">
        <v>35</v>
      </c>
      <c r="U3" s="87" t="s">
        <v>36</v>
      </c>
      <c r="V3" s="87" t="s">
        <v>37</v>
      </c>
      <c r="W3" s="87" t="s">
        <v>38</v>
      </c>
      <c r="X3" s="87" t="s">
        <v>39</v>
      </c>
      <c r="Y3" s="87" t="s">
        <v>40</v>
      </c>
      <c r="Z3" s="87" t="s">
        <v>11</v>
      </c>
      <c r="AA3" s="87" t="s">
        <v>12</v>
      </c>
      <c r="AB3" s="87" t="s">
        <v>41</v>
      </c>
      <c r="AC3" s="87" t="s">
        <v>42</v>
      </c>
      <c r="AD3" s="87" t="s">
        <v>43</v>
      </c>
      <c r="AE3" s="87" t="s">
        <v>44</v>
      </c>
      <c r="AF3" s="87" t="s">
        <v>45</v>
      </c>
      <c r="AG3" s="87" t="s">
        <v>46</v>
      </c>
      <c r="AH3" s="87" t="s">
        <v>47</v>
      </c>
      <c r="AI3" s="87" t="s">
        <v>48</v>
      </c>
      <c r="AJ3" s="87" t="s">
        <v>49</v>
      </c>
      <c r="AK3" s="87" t="s">
        <v>50</v>
      </c>
      <c r="AL3" s="87" t="s">
        <v>51</v>
      </c>
      <c r="AM3" s="87" t="s">
        <v>52</v>
      </c>
      <c r="AN3" s="87" t="s">
        <v>53</v>
      </c>
      <c r="AO3" s="87" t="s">
        <v>54</v>
      </c>
      <c r="AP3" s="87" t="s">
        <v>55</v>
      </c>
      <c r="AQ3" s="87" t="s">
        <v>56</v>
      </c>
      <c r="AR3" s="87" t="s">
        <v>60</v>
      </c>
      <c r="AS3" s="87" t="s">
        <v>57</v>
      </c>
      <c r="AT3" s="87" t="s">
        <v>58</v>
      </c>
      <c r="AU3" s="87" t="s">
        <v>59</v>
      </c>
      <c r="AV3" s="87" t="s">
        <v>61</v>
      </c>
    </row>
    <row r="4">
      <c r="A4" s="153" t="s">
        <v>384</v>
      </c>
      <c r="B4" s="154" t="s">
        <v>385</v>
      </c>
      <c r="C4" s="155" t="s">
        <v>386</v>
      </c>
      <c r="D4" s="155" t="s">
        <v>387</v>
      </c>
      <c r="E4" s="155" t="s">
        <v>388</v>
      </c>
      <c r="F4" s="155" t="s">
        <v>389</v>
      </c>
      <c r="G4" s="155" t="s">
        <v>131</v>
      </c>
      <c r="H4" s="155" t="s">
        <v>131</v>
      </c>
      <c r="I4" s="93">
        <v>3.0</v>
      </c>
      <c r="J4" s="93">
        <v>1.0</v>
      </c>
      <c r="K4" s="93">
        <v>5.0</v>
      </c>
      <c r="L4" s="93" t="s">
        <v>297</v>
      </c>
      <c r="M4" s="93">
        <v>6.0</v>
      </c>
      <c r="N4" s="156" t="s">
        <v>66</v>
      </c>
      <c r="O4" s="157" t="s">
        <v>66</v>
      </c>
      <c r="P4" s="156" t="s">
        <v>66</v>
      </c>
      <c r="Q4" s="158" t="s">
        <v>66</v>
      </c>
      <c r="R4" s="159" t="s">
        <v>66</v>
      </c>
      <c r="S4" s="159" t="s">
        <v>66</v>
      </c>
      <c r="T4" s="158" t="s">
        <v>66</v>
      </c>
      <c r="U4" s="26" t="s">
        <v>66</v>
      </c>
      <c r="V4" s="26" t="s">
        <v>66</v>
      </c>
      <c r="W4" s="26" t="s">
        <v>66</v>
      </c>
      <c r="X4" s="26" t="s">
        <v>66</v>
      </c>
      <c r="Y4" s="26" t="s">
        <v>66</v>
      </c>
      <c r="Z4" s="26" t="s">
        <v>66</v>
      </c>
      <c r="AA4" s="26" t="s">
        <v>66</v>
      </c>
      <c r="AB4" s="26" t="s">
        <v>66</v>
      </c>
      <c r="AC4" s="26" t="s">
        <v>66</v>
      </c>
      <c r="AD4" s="26" t="s">
        <v>66</v>
      </c>
      <c r="AE4" s="26" t="s">
        <v>66</v>
      </c>
      <c r="AF4" s="26" t="s">
        <v>66</v>
      </c>
      <c r="AG4" s="26" t="s">
        <v>66</v>
      </c>
      <c r="AH4" s="26" t="s">
        <v>66</v>
      </c>
      <c r="AI4" s="26" t="s">
        <v>66</v>
      </c>
      <c r="AJ4" s="26" t="s">
        <v>66</v>
      </c>
      <c r="AK4" s="93" t="s">
        <v>75</v>
      </c>
      <c r="AL4" s="93" t="s">
        <v>75</v>
      </c>
      <c r="AM4" s="93" t="s">
        <v>75</v>
      </c>
      <c r="AN4" s="93" t="s">
        <v>65</v>
      </c>
      <c r="AO4" s="26" t="s">
        <v>66</v>
      </c>
      <c r="AP4" s="93" t="s">
        <v>68</v>
      </c>
      <c r="AQ4" s="93" t="s">
        <v>68</v>
      </c>
      <c r="AR4" s="26" t="s">
        <v>66</v>
      </c>
      <c r="AS4" s="26" t="s">
        <v>66</v>
      </c>
      <c r="AT4" s="26" t="s">
        <v>66</v>
      </c>
      <c r="AU4" s="26" t="s">
        <v>66</v>
      </c>
      <c r="AV4" s="94" t="s">
        <v>66</v>
      </c>
    </row>
    <row r="5">
      <c r="A5" s="153" t="s">
        <v>390</v>
      </c>
      <c r="B5" s="154" t="s">
        <v>391</v>
      </c>
      <c r="C5" s="155" t="s">
        <v>392</v>
      </c>
      <c r="D5" s="155" t="s">
        <v>393</v>
      </c>
      <c r="E5" s="155" t="s">
        <v>131</v>
      </c>
      <c r="F5" s="155" t="s">
        <v>394</v>
      </c>
      <c r="G5" s="155" t="s">
        <v>131</v>
      </c>
      <c r="H5" s="155" t="s">
        <v>131</v>
      </c>
      <c r="I5" s="93">
        <v>1.0</v>
      </c>
      <c r="J5" s="93">
        <v>0.0</v>
      </c>
      <c r="K5" s="93">
        <v>10.0</v>
      </c>
      <c r="L5" s="93" t="s">
        <v>297</v>
      </c>
      <c r="M5" s="93">
        <v>10.0</v>
      </c>
      <c r="N5" s="156" t="s">
        <v>66</v>
      </c>
      <c r="O5" s="160" t="s">
        <v>68</v>
      </c>
      <c r="P5" s="156" t="s">
        <v>66</v>
      </c>
      <c r="Q5" s="158" t="s">
        <v>66</v>
      </c>
      <c r="R5" s="159" t="s">
        <v>66</v>
      </c>
      <c r="S5" s="159" t="s">
        <v>66</v>
      </c>
      <c r="T5" s="158" t="s">
        <v>66</v>
      </c>
      <c r="U5" s="26" t="s">
        <v>66</v>
      </c>
      <c r="V5" s="26" t="s">
        <v>66</v>
      </c>
      <c r="W5" s="26" t="s">
        <v>66</v>
      </c>
      <c r="X5" s="26" t="s">
        <v>66</v>
      </c>
      <c r="Y5" s="26" t="s">
        <v>66</v>
      </c>
      <c r="Z5" s="26" t="s">
        <v>66</v>
      </c>
      <c r="AA5" s="93" t="s">
        <v>68</v>
      </c>
      <c r="AB5" s="26" t="s">
        <v>66</v>
      </c>
      <c r="AC5" s="93" t="s">
        <v>68</v>
      </c>
      <c r="AD5" s="26" t="s">
        <v>66</v>
      </c>
      <c r="AE5" s="26" t="s">
        <v>66</v>
      </c>
      <c r="AF5" s="93" t="s">
        <v>68</v>
      </c>
      <c r="AG5" s="26" t="s">
        <v>66</v>
      </c>
      <c r="AH5" s="26" t="s">
        <v>66</v>
      </c>
      <c r="AI5" s="26" t="s">
        <v>66</v>
      </c>
      <c r="AJ5" s="93" t="s">
        <v>68</v>
      </c>
      <c r="AK5" s="93" t="s">
        <v>68</v>
      </c>
      <c r="AL5" s="26" t="s">
        <v>66</v>
      </c>
      <c r="AM5" s="93" t="s">
        <v>68</v>
      </c>
      <c r="AN5" s="93" t="s">
        <v>75</v>
      </c>
      <c r="AO5" s="26" t="s">
        <v>66</v>
      </c>
      <c r="AP5" s="93" t="s">
        <v>68</v>
      </c>
      <c r="AQ5" s="93" t="s">
        <v>68</v>
      </c>
      <c r="AR5" s="26" t="s">
        <v>66</v>
      </c>
      <c r="AS5" s="26" t="s">
        <v>66</v>
      </c>
      <c r="AT5" s="26" t="s">
        <v>66</v>
      </c>
      <c r="AU5" s="26" t="s">
        <v>66</v>
      </c>
      <c r="AV5" s="94" t="s">
        <v>66</v>
      </c>
    </row>
    <row r="6">
      <c r="A6" s="153" t="s">
        <v>395</v>
      </c>
      <c r="B6" s="154" t="s">
        <v>396</v>
      </c>
      <c r="C6" s="155" t="s">
        <v>397</v>
      </c>
      <c r="D6" s="155" t="s">
        <v>398</v>
      </c>
      <c r="E6" s="155" t="s">
        <v>399</v>
      </c>
      <c r="F6" s="155" t="s">
        <v>400</v>
      </c>
      <c r="G6" s="155" t="s">
        <v>131</v>
      </c>
      <c r="H6" s="155" t="s">
        <v>131</v>
      </c>
      <c r="I6" s="93">
        <v>2.0</v>
      </c>
      <c r="J6" s="93">
        <v>10.0</v>
      </c>
      <c r="K6" s="93">
        <v>1.0</v>
      </c>
      <c r="L6" s="93" t="s">
        <v>297</v>
      </c>
      <c r="M6" s="93">
        <v>11.0</v>
      </c>
      <c r="N6" s="156" t="s">
        <v>66</v>
      </c>
      <c r="O6" s="157" t="s">
        <v>66</v>
      </c>
      <c r="P6" s="156" t="s">
        <v>66</v>
      </c>
      <c r="Q6" s="158" t="s">
        <v>66</v>
      </c>
      <c r="R6" s="159" t="s">
        <v>66</v>
      </c>
      <c r="S6" s="159" t="s">
        <v>66</v>
      </c>
      <c r="T6" s="158" t="s">
        <v>66</v>
      </c>
      <c r="U6" s="26" t="s">
        <v>66</v>
      </c>
      <c r="V6" s="26" t="s">
        <v>66</v>
      </c>
      <c r="W6" s="26" t="s">
        <v>66</v>
      </c>
      <c r="X6" s="26" t="s">
        <v>66</v>
      </c>
      <c r="Y6" s="26" t="s">
        <v>66</v>
      </c>
      <c r="Z6" s="26" t="s">
        <v>66</v>
      </c>
      <c r="AA6" s="26" t="s">
        <v>66</v>
      </c>
      <c r="AB6" s="26" t="s">
        <v>66</v>
      </c>
      <c r="AC6" s="93" t="s">
        <v>68</v>
      </c>
      <c r="AD6" s="26" t="s">
        <v>66</v>
      </c>
      <c r="AE6" s="26" t="s">
        <v>66</v>
      </c>
      <c r="AF6" s="26" t="s">
        <v>66</v>
      </c>
      <c r="AG6" s="26" t="s">
        <v>66</v>
      </c>
      <c r="AH6" s="26" t="s">
        <v>66</v>
      </c>
      <c r="AI6" s="26" t="s">
        <v>66</v>
      </c>
      <c r="AJ6" s="93" t="s">
        <v>67</v>
      </c>
      <c r="AK6" s="93" t="s">
        <v>67</v>
      </c>
      <c r="AL6" s="93" t="s">
        <v>65</v>
      </c>
      <c r="AM6" s="93" t="s">
        <v>65</v>
      </c>
      <c r="AN6" s="93" t="s">
        <v>65</v>
      </c>
      <c r="AO6" s="93" t="s">
        <v>65</v>
      </c>
      <c r="AP6" s="93" t="s">
        <v>65</v>
      </c>
      <c r="AQ6" s="93" t="s">
        <v>65</v>
      </c>
      <c r="AR6" s="93" t="s">
        <v>65</v>
      </c>
      <c r="AS6" s="26" t="s">
        <v>66</v>
      </c>
      <c r="AT6" s="26" t="s">
        <v>66</v>
      </c>
      <c r="AU6" s="26" t="s">
        <v>66</v>
      </c>
      <c r="AV6" s="95" t="s">
        <v>65</v>
      </c>
    </row>
    <row r="7">
      <c r="A7" s="153" t="s">
        <v>401</v>
      </c>
      <c r="B7" s="154" t="s">
        <v>402</v>
      </c>
      <c r="C7" s="155" t="s">
        <v>403</v>
      </c>
      <c r="D7" s="155" t="s">
        <v>404</v>
      </c>
      <c r="E7" s="155" t="s">
        <v>405</v>
      </c>
      <c r="F7" s="155" t="s">
        <v>406</v>
      </c>
      <c r="G7" s="155" t="s">
        <v>131</v>
      </c>
      <c r="H7" s="155" t="s">
        <v>131</v>
      </c>
      <c r="I7" s="93">
        <v>5.0</v>
      </c>
      <c r="J7" s="93">
        <v>6.0</v>
      </c>
      <c r="K7" s="93">
        <v>1.0</v>
      </c>
      <c r="L7" s="93" t="s">
        <v>309</v>
      </c>
      <c r="M7" s="93">
        <v>7.0</v>
      </c>
      <c r="N7" s="156" t="s">
        <v>66</v>
      </c>
      <c r="O7" s="157" t="s">
        <v>66</v>
      </c>
      <c r="P7" s="156" t="s">
        <v>66</v>
      </c>
      <c r="Q7" s="158" t="s">
        <v>66</v>
      </c>
      <c r="R7" s="159" t="s">
        <v>66</v>
      </c>
      <c r="S7" s="159" t="s">
        <v>66</v>
      </c>
      <c r="T7" s="158" t="s">
        <v>66</v>
      </c>
      <c r="U7" s="26" t="s">
        <v>66</v>
      </c>
      <c r="V7" s="26" t="s">
        <v>66</v>
      </c>
      <c r="W7" s="26" t="s">
        <v>66</v>
      </c>
      <c r="X7" s="26" t="s">
        <v>66</v>
      </c>
      <c r="Y7" s="26" t="s">
        <v>66</v>
      </c>
      <c r="Z7" s="26" t="s">
        <v>66</v>
      </c>
      <c r="AA7" s="26" t="s">
        <v>66</v>
      </c>
      <c r="AB7" s="26" t="s">
        <v>66</v>
      </c>
      <c r="AC7" s="26" t="s">
        <v>66</v>
      </c>
      <c r="AD7" s="26" t="s">
        <v>66</v>
      </c>
      <c r="AE7" s="26" t="s">
        <v>66</v>
      </c>
      <c r="AF7" s="26" t="s">
        <v>66</v>
      </c>
      <c r="AG7" s="26" t="s">
        <v>66</v>
      </c>
      <c r="AH7" s="26" t="s">
        <v>66</v>
      </c>
      <c r="AI7" s="26" t="s">
        <v>66</v>
      </c>
      <c r="AJ7" s="93" t="s">
        <v>67</v>
      </c>
      <c r="AK7" s="93" t="s">
        <v>67</v>
      </c>
      <c r="AL7" s="93" t="s">
        <v>65</v>
      </c>
      <c r="AM7" s="93" t="s">
        <v>67</v>
      </c>
      <c r="AN7" s="93" t="s">
        <v>67</v>
      </c>
      <c r="AO7" s="26" t="s">
        <v>66</v>
      </c>
      <c r="AP7" s="93" t="s">
        <v>68</v>
      </c>
      <c r="AQ7" s="26" t="s">
        <v>66</v>
      </c>
      <c r="AR7" s="26" t="s">
        <v>66</v>
      </c>
      <c r="AS7" s="26" t="s">
        <v>66</v>
      </c>
      <c r="AT7" s="26" t="s">
        <v>66</v>
      </c>
      <c r="AU7" s="26" t="s">
        <v>66</v>
      </c>
      <c r="AV7" s="95" t="s">
        <v>67</v>
      </c>
    </row>
    <row r="8">
      <c r="A8" s="153" t="s">
        <v>407</v>
      </c>
      <c r="B8" s="161" t="s">
        <v>408</v>
      </c>
      <c r="C8" s="162" t="s">
        <v>409</v>
      </c>
      <c r="D8" s="162" t="s">
        <v>410</v>
      </c>
      <c r="E8" s="162" t="s">
        <v>411</v>
      </c>
      <c r="F8" s="162" t="s">
        <v>131</v>
      </c>
      <c r="G8" s="162" t="s">
        <v>131</v>
      </c>
      <c r="H8" s="162" t="s">
        <v>131</v>
      </c>
      <c r="I8" s="163">
        <v>9.0</v>
      </c>
      <c r="J8" s="163">
        <v>11.0</v>
      </c>
      <c r="K8" s="163">
        <v>0.0</v>
      </c>
      <c r="L8" s="163" t="s">
        <v>309</v>
      </c>
      <c r="M8" s="163">
        <v>11.0</v>
      </c>
      <c r="N8" s="164" t="s">
        <v>66</v>
      </c>
      <c r="O8" s="165" t="s">
        <v>66</v>
      </c>
      <c r="P8" s="164" t="s">
        <v>66</v>
      </c>
      <c r="Q8" s="166" t="s">
        <v>66</v>
      </c>
      <c r="R8" s="167" t="s">
        <v>66</v>
      </c>
      <c r="S8" s="167" t="s">
        <v>66</v>
      </c>
      <c r="T8" s="166" t="s">
        <v>66</v>
      </c>
      <c r="U8" s="168" t="s">
        <v>66</v>
      </c>
      <c r="V8" s="168" t="s">
        <v>66</v>
      </c>
      <c r="W8" s="168" t="s">
        <v>66</v>
      </c>
      <c r="X8" s="163" t="s">
        <v>67</v>
      </c>
      <c r="Y8" s="163" t="s">
        <v>67</v>
      </c>
      <c r="Z8" s="168" t="s">
        <v>66</v>
      </c>
      <c r="AA8" s="168" t="s">
        <v>66</v>
      </c>
      <c r="AB8" s="168" t="s">
        <v>66</v>
      </c>
      <c r="AC8" s="168" t="s">
        <v>66</v>
      </c>
      <c r="AD8" s="168" t="s">
        <v>66</v>
      </c>
      <c r="AE8" s="168" t="s">
        <v>66</v>
      </c>
      <c r="AF8" s="163" t="s">
        <v>65</v>
      </c>
      <c r="AG8" s="168" t="s">
        <v>66</v>
      </c>
      <c r="AH8" s="168" t="s">
        <v>66</v>
      </c>
      <c r="AI8" s="168" t="s">
        <v>66</v>
      </c>
      <c r="AJ8" s="163" t="s">
        <v>67</v>
      </c>
      <c r="AK8" s="163" t="s">
        <v>67</v>
      </c>
      <c r="AL8" s="163" t="s">
        <v>67</v>
      </c>
      <c r="AM8" s="163" t="s">
        <v>67</v>
      </c>
      <c r="AN8" s="163" t="s">
        <v>67</v>
      </c>
      <c r="AO8" s="163" t="s">
        <v>67</v>
      </c>
      <c r="AP8" s="163" t="s">
        <v>65</v>
      </c>
      <c r="AQ8" s="168" t="s">
        <v>66</v>
      </c>
      <c r="AR8" s="168" t="s">
        <v>66</v>
      </c>
      <c r="AS8" s="168" t="s">
        <v>66</v>
      </c>
      <c r="AT8" s="168" t="s">
        <v>66</v>
      </c>
      <c r="AU8" s="168" t="s">
        <v>66</v>
      </c>
      <c r="AV8" s="169" t="s">
        <v>67</v>
      </c>
    </row>
    <row r="9">
      <c r="A9" s="153" t="s">
        <v>412</v>
      </c>
      <c r="B9" s="154" t="s">
        <v>413</v>
      </c>
      <c r="C9" s="155" t="s">
        <v>414</v>
      </c>
      <c r="D9" s="155" t="s">
        <v>156</v>
      </c>
      <c r="E9" s="155" t="s">
        <v>131</v>
      </c>
      <c r="F9" s="155" t="s">
        <v>415</v>
      </c>
      <c r="G9" s="155" t="s">
        <v>131</v>
      </c>
      <c r="H9" s="155" t="s">
        <v>131</v>
      </c>
      <c r="I9" s="93">
        <v>1.0</v>
      </c>
      <c r="J9" s="93">
        <v>0.0</v>
      </c>
      <c r="K9" s="93">
        <v>1.0</v>
      </c>
      <c r="L9" s="93" t="s">
        <v>309</v>
      </c>
      <c r="M9" s="93">
        <v>1.0</v>
      </c>
      <c r="N9" s="156" t="s">
        <v>66</v>
      </c>
      <c r="O9" s="157" t="s">
        <v>66</v>
      </c>
      <c r="P9" s="26" t="s">
        <v>66</v>
      </c>
      <c r="Q9" s="26" t="s">
        <v>66</v>
      </c>
      <c r="R9" s="26" t="s">
        <v>66</v>
      </c>
      <c r="S9" s="26" t="s">
        <v>66</v>
      </c>
      <c r="T9" s="26" t="s">
        <v>66</v>
      </c>
      <c r="U9" s="26" t="s">
        <v>66</v>
      </c>
      <c r="V9" s="26" t="s">
        <v>66</v>
      </c>
      <c r="W9" s="26" t="s">
        <v>66</v>
      </c>
      <c r="Y9" s="26" t="s">
        <v>66</v>
      </c>
      <c r="Z9" s="26" t="s">
        <v>66</v>
      </c>
      <c r="AA9" s="26" t="s">
        <v>66</v>
      </c>
      <c r="AB9" s="26" t="s">
        <v>66</v>
      </c>
      <c r="AC9" s="26" t="s">
        <v>66</v>
      </c>
      <c r="AD9" s="26" t="s">
        <v>66</v>
      </c>
      <c r="AE9" s="26" t="s">
        <v>66</v>
      </c>
      <c r="AF9" s="26" t="s">
        <v>66</v>
      </c>
      <c r="AG9" s="26" t="s">
        <v>66</v>
      </c>
      <c r="AH9" s="26" t="s">
        <v>66</v>
      </c>
      <c r="AI9" s="26" t="s">
        <v>66</v>
      </c>
      <c r="AJ9" s="26" t="s">
        <v>66</v>
      </c>
      <c r="AK9" s="93" t="s">
        <v>75</v>
      </c>
      <c r="AL9" s="26" t="s">
        <v>66</v>
      </c>
      <c r="AM9" s="26" t="s">
        <v>66</v>
      </c>
      <c r="AN9" s="26" t="s">
        <v>66</v>
      </c>
      <c r="AO9" s="26" t="s">
        <v>66</v>
      </c>
      <c r="AP9" s="26" t="s">
        <v>66</v>
      </c>
      <c r="AQ9" s="26" t="s">
        <v>66</v>
      </c>
      <c r="AR9" s="26" t="s">
        <v>66</v>
      </c>
      <c r="AS9" s="26" t="s">
        <v>66</v>
      </c>
      <c r="AT9" s="26" t="s">
        <v>66</v>
      </c>
      <c r="AU9" s="26" t="s">
        <v>66</v>
      </c>
      <c r="AV9" s="94" t="s">
        <v>66</v>
      </c>
    </row>
    <row r="10">
      <c r="A10" s="153" t="s">
        <v>416</v>
      </c>
      <c r="B10" s="154" t="s">
        <v>417</v>
      </c>
      <c r="C10" s="155" t="s">
        <v>418</v>
      </c>
      <c r="D10" s="155" t="s">
        <v>419</v>
      </c>
      <c r="E10" s="155" t="s">
        <v>131</v>
      </c>
      <c r="F10" s="155" t="s">
        <v>420</v>
      </c>
      <c r="G10" s="155" t="s">
        <v>131</v>
      </c>
      <c r="H10" s="155" t="s">
        <v>131</v>
      </c>
      <c r="I10" s="93">
        <v>3.0</v>
      </c>
      <c r="J10" s="93">
        <v>0.0</v>
      </c>
      <c r="K10" s="93">
        <v>6.0</v>
      </c>
      <c r="L10" s="93" t="s">
        <v>309</v>
      </c>
      <c r="M10" s="93">
        <v>6.0</v>
      </c>
      <c r="N10" s="26" t="s">
        <v>66</v>
      </c>
      <c r="O10" s="26" t="s">
        <v>66</v>
      </c>
      <c r="P10" s="26" t="s">
        <v>66</v>
      </c>
      <c r="Q10" s="26" t="s">
        <v>66</v>
      </c>
      <c r="R10" s="26" t="s">
        <v>66</v>
      </c>
      <c r="S10" s="26" t="s">
        <v>66</v>
      </c>
      <c r="T10" s="26" t="s">
        <v>66</v>
      </c>
      <c r="U10" s="26" t="s">
        <v>66</v>
      </c>
      <c r="V10" s="26" t="s">
        <v>66</v>
      </c>
      <c r="W10" s="26" t="s">
        <v>66</v>
      </c>
      <c r="X10" s="26" t="s">
        <v>66</v>
      </c>
      <c r="Y10" s="26" t="s">
        <v>66</v>
      </c>
      <c r="Z10" s="26" t="s">
        <v>66</v>
      </c>
      <c r="AA10" s="93" t="s">
        <v>68</v>
      </c>
      <c r="AB10" s="26" t="s">
        <v>66</v>
      </c>
      <c r="AC10" s="93" t="s">
        <v>68</v>
      </c>
      <c r="AD10" s="26" t="s">
        <v>66</v>
      </c>
      <c r="AE10" s="26" t="s">
        <v>66</v>
      </c>
      <c r="AF10" s="26" t="s">
        <v>66</v>
      </c>
      <c r="AG10" s="26" t="s">
        <v>66</v>
      </c>
      <c r="AH10" s="26" t="s">
        <v>66</v>
      </c>
      <c r="AI10" s="26" t="s">
        <v>66</v>
      </c>
      <c r="AJ10" s="93" t="s">
        <v>75</v>
      </c>
      <c r="AK10" s="26" t="s">
        <v>66</v>
      </c>
      <c r="AL10" s="93" t="s">
        <v>75</v>
      </c>
      <c r="AM10" s="93" t="s">
        <v>75</v>
      </c>
      <c r="AN10" s="26" t="s">
        <v>66</v>
      </c>
      <c r="AO10" s="26" t="s">
        <v>66</v>
      </c>
      <c r="AP10" s="93" t="s">
        <v>68</v>
      </c>
      <c r="AQ10" s="26" t="s">
        <v>66</v>
      </c>
      <c r="AR10" s="26" t="s">
        <v>66</v>
      </c>
      <c r="AS10" s="26" t="s">
        <v>66</v>
      </c>
      <c r="AT10" s="26" t="s">
        <v>66</v>
      </c>
      <c r="AU10" s="26" t="s">
        <v>66</v>
      </c>
      <c r="AV10" s="94" t="s">
        <v>66</v>
      </c>
    </row>
    <row r="11">
      <c r="A11" s="153" t="s">
        <v>421</v>
      </c>
      <c r="B11" s="154" t="s">
        <v>422</v>
      </c>
      <c r="C11" s="155" t="s">
        <v>423</v>
      </c>
      <c r="D11" s="155" t="s">
        <v>203</v>
      </c>
      <c r="E11" s="155" t="s">
        <v>131</v>
      </c>
      <c r="F11" s="155" t="s">
        <v>424</v>
      </c>
      <c r="G11" s="155" t="s">
        <v>131</v>
      </c>
      <c r="H11" s="155" t="s">
        <v>131</v>
      </c>
      <c r="I11" s="93">
        <v>2.0</v>
      </c>
      <c r="J11" s="93">
        <v>0.0</v>
      </c>
      <c r="K11" s="93">
        <v>5.0</v>
      </c>
      <c r="L11" s="93" t="s">
        <v>297</v>
      </c>
      <c r="M11" s="93">
        <v>5.0</v>
      </c>
      <c r="N11" s="26" t="s">
        <v>66</v>
      </c>
      <c r="O11" s="26" t="s">
        <v>66</v>
      </c>
      <c r="P11" s="26" t="s">
        <v>66</v>
      </c>
      <c r="Q11" s="26" t="s">
        <v>66</v>
      </c>
      <c r="R11" s="26" t="s">
        <v>66</v>
      </c>
      <c r="S11" s="26" t="s">
        <v>66</v>
      </c>
      <c r="T11" s="26" t="s">
        <v>66</v>
      </c>
      <c r="U11" s="26" t="s">
        <v>66</v>
      </c>
      <c r="V11" s="26" t="s">
        <v>66</v>
      </c>
      <c r="W11" s="26" t="s">
        <v>66</v>
      </c>
      <c r="X11" s="26" t="s">
        <v>66</v>
      </c>
      <c r="Y11" s="26" t="s">
        <v>66</v>
      </c>
      <c r="Z11" s="26" t="s">
        <v>66</v>
      </c>
      <c r="AA11" s="93" t="s">
        <v>68</v>
      </c>
      <c r="AB11" s="26" t="s">
        <v>66</v>
      </c>
      <c r="AC11" s="93" t="s">
        <v>68</v>
      </c>
      <c r="AD11" s="26" t="s">
        <v>66</v>
      </c>
      <c r="AE11" s="26" t="s">
        <v>66</v>
      </c>
      <c r="AF11" s="26" t="s">
        <v>66</v>
      </c>
      <c r="AG11" s="26" t="s">
        <v>66</v>
      </c>
      <c r="AH11" s="26" t="s">
        <v>66</v>
      </c>
      <c r="AI11" s="26" t="s">
        <v>66</v>
      </c>
      <c r="AJ11" s="26" t="s">
        <v>66</v>
      </c>
      <c r="AK11" s="93" t="s">
        <v>75</v>
      </c>
      <c r="AL11" s="26" t="s">
        <v>66</v>
      </c>
      <c r="AM11" s="93" t="s">
        <v>75</v>
      </c>
      <c r="AN11" s="26" t="s">
        <v>66</v>
      </c>
      <c r="AO11" s="26" t="s">
        <v>66</v>
      </c>
      <c r="AP11" s="93" t="s">
        <v>68</v>
      </c>
      <c r="AQ11" s="26" t="s">
        <v>66</v>
      </c>
      <c r="AR11" s="26" t="s">
        <v>66</v>
      </c>
      <c r="AS11" s="26" t="s">
        <v>66</v>
      </c>
      <c r="AT11" s="26" t="s">
        <v>66</v>
      </c>
      <c r="AU11" s="26" t="s">
        <v>66</v>
      </c>
      <c r="AV11" s="94" t="s">
        <v>66</v>
      </c>
    </row>
    <row r="12">
      <c r="A12" s="170" t="s">
        <v>425</v>
      </c>
      <c r="B12" s="154" t="s">
        <v>426</v>
      </c>
      <c r="C12" s="155" t="s">
        <v>427</v>
      </c>
      <c r="D12" s="155" t="s">
        <v>128</v>
      </c>
      <c r="E12" s="155" t="s">
        <v>428</v>
      </c>
      <c r="F12" s="155" t="s">
        <v>429</v>
      </c>
      <c r="G12" s="155" t="s">
        <v>131</v>
      </c>
      <c r="H12" s="155" t="s">
        <v>131</v>
      </c>
      <c r="I12" s="93">
        <v>2.0</v>
      </c>
      <c r="J12" s="93">
        <v>1.0</v>
      </c>
      <c r="K12" s="93">
        <v>4.0</v>
      </c>
      <c r="L12" s="93" t="s">
        <v>309</v>
      </c>
      <c r="M12" s="93">
        <v>5.0</v>
      </c>
      <c r="N12" s="156" t="s">
        <v>66</v>
      </c>
      <c r="O12" s="26" t="s">
        <v>66</v>
      </c>
      <c r="P12" s="159" t="s">
        <v>66</v>
      </c>
      <c r="Q12" s="26" t="s">
        <v>66</v>
      </c>
      <c r="R12" s="26" t="s">
        <v>66</v>
      </c>
      <c r="S12" s="26" t="s">
        <v>66</v>
      </c>
      <c r="T12" s="26" t="s">
        <v>66</v>
      </c>
      <c r="U12" s="26" t="s">
        <v>66</v>
      </c>
      <c r="V12" s="26" t="s">
        <v>66</v>
      </c>
      <c r="W12" s="26" t="s">
        <v>66</v>
      </c>
      <c r="X12" s="26" t="s">
        <v>66</v>
      </c>
      <c r="Y12" s="26" t="s">
        <v>66</v>
      </c>
      <c r="Z12" s="26" t="s">
        <v>66</v>
      </c>
      <c r="AA12" s="26" t="s">
        <v>66</v>
      </c>
      <c r="AB12" s="26" t="s">
        <v>66</v>
      </c>
      <c r="AC12" s="26" t="s">
        <v>68</v>
      </c>
      <c r="AD12" s="26" t="s">
        <v>66</v>
      </c>
      <c r="AE12" s="26" t="s">
        <v>66</v>
      </c>
      <c r="AF12" s="26" t="s">
        <v>66</v>
      </c>
      <c r="AG12" s="26" t="s">
        <v>66</v>
      </c>
      <c r="AH12" s="26" t="s">
        <v>66</v>
      </c>
      <c r="AI12" s="26" t="s">
        <v>66</v>
      </c>
      <c r="AJ12" s="26" t="s">
        <v>66</v>
      </c>
      <c r="AK12" s="93" t="s">
        <v>67</v>
      </c>
      <c r="AL12" s="26" t="s">
        <v>66</v>
      </c>
      <c r="AM12" s="93" t="s">
        <v>68</v>
      </c>
      <c r="AN12" s="93" t="s">
        <v>75</v>
      </c>
      <c r="AO12" s="26" t="s">
        <v>66</v>
      </c>
      <c r="AP12" s="93" t="s">
        <v>68</v>
      </c>
      <c r="AQ12" s="26" t="s">
        <v>66</v>
      </c>
      <c r="AR12" s="26" t="s">
        <v>66</v>
      </c>
      <c r="AS12" s="26" t="s">
        <v>66</v>
      </c>
      <c r="AT12" s="26" t="s">
        <v>66</v>
      </c>
      <c r="AU12" s="26" t="s">
        <v>66</v>
      </c>
      <c r="AV12" s="94" t="s">
        <v>66</v>
      </c>
    </row>
    <row r="13">
      <c r="A13" s="171" t="s">
        <v>430</v>
      </c>
      <c r="B13" s="172" t="s">
        <v>431</v>
      </c>
      <c r="C13" s="173" t="s">
        <v>432</v>
      </c>
      <c r="D13" s="173" t="s">
        <v>433</v>
      </c>
      <c r="E13" s="173" t="s">
        <v>434</v>
      </c>
      <c r="F13" s="173" t="s">
        <v>435</v>
      </c>
      <c r="G13" s="173" t="s">
        <v>131</v>
      </c>
      <c r="H13" s="173" t="s">
        <v>131</v>
      </c>
      <c r="I13" s="98">
        <v>5.0</v>
      </c>
      <c r="J13" s="98">
        <v>5.0</v>
      </c>
      <c r="K13" s="98">
        <v>4.0</v>
      </c>
      <c r="L13" s="98" t="s">
        <v>309</v>
      </c>
      <c r="M13" s="98">
        <v>9.0</v>
      </c>
      <c r="N13" s="174" t="s">
        <v>66</v>
      </c>
      <c r="O13" s="98" t="s">
        <v>68</v>
      </c>
      <c r="P13" s="175" t="s">
        <v>66</v>
      </c>
      <c r="Q13" s="97" t="s">
        <v>66</v>
      </c>
      <c r="R13" s="97" t="s">
        <v>66</v>
      </c>
      <c r="S13" s="97" t="s">
        <v>66</v>
      </c>
      <c r="T13" s="97" t="s">
        <v>66</v>
      </c>
      <c r="U13" s="97" t="s">
        <v>66</v>
      </c>
      <c r="V13" s="97" t="s">
        <v>66</v>
      </c>
      <c r="W13" s="97" t="s">
        <v>66</v>
      </c>
      <c r="X13" s="97" t="s">
        <v>66</v>
      </c>
      <c r="Y13" s="98" t="s">
        <v>75</v>
      </c>
      <c r="Z13" s="97" t="s">
        <v>66</v>
      </c>
      <c r="AA13" s="97" t="s">
        <v>66</v>
      </c>
      <c r="AB13" s="97" t="s">
        <v>66</v>
      </c>
      <c r="AC13" s="97" t="s">
        <v>66</v>
      </c>
      <c r="AD13" s="97" t="s">
        <v>66</v>
      </c>
      <c r="AE13" s="97" t="s">
        <v>66</v>
      </c>
      <c r="AF13" s="97" t="s">
        <v>66</v>
      </c>
      <c r="AG13" s="97" t="s">
        <v>66</v>
      </c>
      <c r="AH13" s="98" t="s">
        <v>67</v>
      </c>
      <c r="AI13" s="97" t="s">
        <v>66</v>
      </c>
      <c r="AJ13" s="98" t="s">
        <v>65</v>
      </c>
      <c r="AK13" s="98" t="s">
        <v>67</v>
      </c>
      <c r="AL13" s="97" t="s">
        <v>66</v>
      </c>
      <c r="AM13" s="98" t="s">
        <v>67</v>
      </c>
      <c r="AN13" s="98" t="s">
        <v>67</v>
      </c>
      <c r="AO13" s="97" t="s">
        <v>66</v>
      </c>
      <c r="AP13" s="98" t="s">
        <v>68</v>
      </c>
      <c r="AQ13" s="97" t="s">
        <v>66</v>
      </c>
      <c r="AR13" s="97" t="s">
        <v>66</v>
      </c>
      <c r="AS13" s="97" t="s">
        <v>66</v>
      </c>
      <c r="AT13" s="97" t="s">
        <v>66</v>
      </c>
      <c r="AU13" s="97" t="s">
        <v>66</v>
      </c>
      <c r="AV13" s="176" t="s">
        <v>68</v>
      </c>
    </row>
    <row r="14">
      <c r="A14" s="26"/>
      <c r="B14" s="26"/>
      <c r="C14" s="177"/>
      <c r="D14" s="177"/>
      <c r="E14" s="177"/>
      <c r="F14" s="177"/>
      <c r="G14" s="177"/>
      <c r="H14" s="177"/>
      <c r="I14" s="178"/>
      <c r="J14" s="178"/>
      <c r="K14" s="178"/>
      <c r="L14" s="177"/>
      <c r="M14" s="178"/>
      <c r="N14" s="177"/>
      <c r="O14" s="177"/>
      <c r="P14" s="177"/>
      <c r="Q14" s="177"/>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row>
    <row r="15">
      <c r="A15" s="168"/>
      <c r="B15" s="168"/>
      <c r="C15" s="168"/>
      <c r="D15" s="168"/>
      <c r="E15" s="168"/>
      <c r="F15" s="168"/>
      <c r="G15" s="168"/>
      <c r="H15" s="168"/>
      <c r="I15" s="168"/>
      <c r="J15" s="168"/>
      <c r="K15" s="168"/>
      <c r="L15" s="168"/>
      <c r="M15" s="168"/>
      <c r="N15" s="167"/>
      <c r="O15" s="168"/>
      <c r="P15" s="167"/>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row>
    <row r="16">
      <c r="A16" s="26"/>
      <c r="B16" s="179" t="s">
        <v>23</v>
      </c>
      <c r="C16" s="180" t="s">
        <v>39</v>
      </c>
      <c r="D16" s="180" t="s">
        <v>40</v>
      </c>
      <c r="E16" s="180" t="s">
        <v>47</v>
      </c>
      <c r="F16" s="180" t="s">
        <v>49</v>
      </c>
      <c r="G16" s="180" t="s">
        <v>50</v>
      </c>
      <c r="H16" s="180" t="s">
        <v>51</v>
      </c>
      <c r="I16" s="180" t="s">
        <v>52</v>
      </c>
      <c r="J16" s="180" t="s">
        <v>53</v>
      </c>
      <c r="K16" s="180" t="s">
        <v>54</v>
      </c>
      <c r="L16" s="181" t="s">
        <v>61</v>
      </c>
      <c r="M16" s="26"/>
      <c r="N16" s="159"/>
      <c r="O16" s="26"/>
      <c r="P16" s="159"/>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row>
    <row r="17">
      <c r="A17" s="26"/>
      <c r="B17" s="182" t="s">
        <v>385</v>
      </c>
      <c r="C17" s="26" t="s">
        <v>66</v>
      </c>
      <c r="D17" s="26" t="s">
        <v>66</v>
      </c>
      <c r="E17" s="26" t="s">
        <v>66</v>
      </c>
      <c r="F17" s="26" t="s">
        <v>66</v>
      </c>
      <c r="G17" s="183" t="s">
        <v>436</v>
      </c>
      <c r="H17" s="183" t="s">
        <v>436</v>
      </c>
      <c r="I17" s="183" t="s">
        <v>436</v>
      </c>
      <c r="J17" s="26"/>
      <c r="K17" s="26" t="s">
        <v>66</v>
      </c>
      <c r="L17" s="94" t="s">
        <v>66</v>
      </c>
      <c r="M17" s="26"/>
      <c r="N17" s="159"/>
      <c r="O17" s="26"/>
      <c r="P17" s="159"/>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row>
    <row r="18">
      <c r="A18" s="26"/>
      <c r="B18" s="182" t="s">
        <v>391</v>
      </c>
      <c r="C18" s="26" t="s">
        <v>66</v>
      </c>
      <c r="D18" s="26" t="s">
        <v>66</v>
      </c>
      <c r="E18" s="26" t="s">
        <v>66</v>
      </c>
      <c r="F18" s="26"/>
      <c r="G18" s="26"/>
      <c r="H18" s="26" t="s">
        <v>66</v>
      </c>
      <c r="I18" s="26"/>
      <c r="J18" s="93" t="s">
        <v>436</v>
      </c>
      <c r="K18" s="26" t="s">
        <v>66</v>
      </c>
      <c r="L18" s="94" t="s">
        <v>66</v>
      </c>
      <c r="M18" s="26"/>
      <c r="N18" s="159"/>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row>
    <row r="19">
      <c r="A19" s="26"/>
      <c r="B19" s="182" t="s">
        <v>396</v>
      </c>
      <c r="C19" s="26" t="s">
        <v>66</v>
      </c>
      <c r="D19" s="26" t="s">
        <v>66</v>
      </c>
      <c r="E19" s="26" t="s">
        <v>66</v>
      </c>
      <c r="F19" s="93" t="s">
        <v>436</v>
      </c>
      <c r="G19" s="93" t="s">
        <v>436</v>
      </c>
      <c r="H19" s="26"/>
      <c r="I19" s="26"/>
      <c r="J19" s="26"/>
      <c r="K19" s="26"/>
      <c r="L19" s="94"/>
      <c r="M19" s="26"/>
      <c r="N19" s="159"/>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row>
    <row r="20">
      <c r="A20" s="168"/>
      <c r="B20" s="182" t="s">
        <v>402</v>
      </c>
      <c r="C20" s="168" t="s">
        <v>66</v>
      </c>
      <c r="D20" s="168" t="s">
        <v>66</v>
      </c>
      <c r="E20" s="26" t="s">
        <v>66</v>
      </c>
      <c r="F20" s="163" t="s">
        <v>436</v>
      </c>
      <c r="G20" s="163" t="s">
        <v>436</v>
      </c>
      <c r="H20" s="168"/>
      <c r="I20" s="163" t="s">
        <v>436</v>
      </c>
      <c r="J20" s="163" t="s">
        <v>436</v>
      </c>
      <c r="K20" s="168" t="s">
        <v>66</v>
      </c>
      <c r="L20" s="169" t="s">
        <v>436</v>
      </c>
      <c r="M20" s="168"/>
      <c r="N20" s="167" t="str">
        <f t="shared" ref="N20:AB20" si="1">IF(COUNTIF($D20,"*"&amp;N$3&amp;"*")&gt;0,"T","")&amp;IF(COUNTIF($F20,"*"&amp;N$3&amp;"*")&gt;0,"L","")&amp;IF(COUNTIF($G20,"*"&amp;N$3&amp;"*")&gt;0,"N","")</f>
        <v/>
      </c>
      <c r="O20" s="168" t="str">
        <f t="shared" si="1"/>
        <v/>
      </c>
      <c r="P20" s="168" t="str">
        <f t="shared" si="1"/>
        <v/>
      </c>
      <c r="Q20" s="168" t="str">
        <f t="shared" si="1"/>
        <v/>
      </c>
      <c r="R20" s="168" t="str">
        <f t="shared" si="1"/>
        <v/>
      </c>
      <c r="S20" s="168" t="str">
        <f t="shared" si="1"/>
        <v/>
      </c>
      <c r="T20" s="168" t="str">
        <f t="shared" si="1"/>
        <v/>
      </c>
      <c r="U20" s="168" t="str">
        <f t="shared" si="1"/>
        <v/>
      </c>
      <c r="V20" s="26" t="str">
        <f t="shared" si="1"/>
        <v/>
      </c>
      <c r="W20" s="26" t="str">
        <f t="shared" si="1"/>
        <v/>
      </c>
      <c r="X20" s="26" t="str">
        <f t="shared" si="1"/>
        <v/>
      </c>
      <c r="Y20" s="26" t="str">
        <f t="shared" si="1"/>
        <v/>
      </c>
      <c r="Z20" s="26" t="str">
        <f t="shared" si="1"/>
        <v/>
      </c>
      <c r="AA20" s="26" t="str">
        <f t="shared" si="1"/>
        <v/>
      </c>
      <c r="AB20" s="26" t="str">
        <f t="shared" si="1"/>
        <v/>
      </c>
      <c r="AC20" s="26"/>
      <c r="AD20" s="26"/>
      <c r="AE20" s="26"/>
      <c r="AF20" s="26"/>
      <c r="AG20" s="26"/>
      <c r="AH20" s="26"/>
      <c r="AI20" s="26"/>
      <c r="AJ20" s="26"/>
      <c r="AK20" s="26"/>
      <c r="AL20" s="26"/>
      <c r="AM20" s="26"/>
      <c r="AN20" s="26" t="str">
        <f t="shared" ref="AN20:AQ20" si="2">IF(COUNTIF($D20,"*"&amp;AN$3&amp;"*")&gt;0,"T","")&amp;IF(COUNTIF($F20,"*"&amp;AN$3&amp;"*")&gt;0,"L","")&amp;IF(COUNTIF($G20,"*"&amp;AN$3&amp;"*")&gt;0,"N","")</f>
        <v/>
      </c>
      <c r="AO20" s="26" t="str">
        <f t="shared" si="2"/>
        <v/>
      </c>
      <c r="AP20" s="26" t="str">
        <f t="shared" si="2"/>
        <v/>
      </c>
      <c r="AQ20" s="26" t="str">
        <f t="shared" si="2"/>
        <v/>
      </c>
      <c r="AR20" s="26"/>
      <c r="AS20" s="26" t="str">
        <f t="shared" ref="AS20:AS21" si="5">IF(COUNTIF($D20,"*"&amp;AS$3&amp;"*")&gt;0,"T","")&amp;IF(COUNTIF($F20,"*"&amp;AS$3&amp;"*")&gt;0,"L","")&amp;IF(COUNTIF($G20,"*"&amp;AS$3&amp;"*")&gt;0,"N","")</f>
        <v/>
      </c>
      <c r="AT20" s="26"/>
      <c r="AU20" s="26"/>
      <c r="AV20" s="26"/>
    </row>
    <row r="21">
      <c r="A21" s="168"/>
      <c r="B21" s="184" t="s">
        <v>408</v>
      </c>
      <c r="C21" s="163" t="s">
        <v>436</v>
      </c>
      <c r="D21" s="163" t="s">
        <v>436</v>
      </c>
      <c r="E21" s="26" t="s">
        <v>66</v>
      </c>
      <c r="F21" s="163" t="s">
        <v>436</v>
      </c>
      <c r="G21" s="163" t="s">
        <v>436</v>
      </c>
      <c r="H21" s="163" t="s">
        <v>436</v>
      </c>
      <c r="I21" s="163" t="s">
        <v>436</v>
      </c>
      <c r="J21" s="163" t="s">
        <v>436</v>
      </c>
      <c r="K21" s="163" t="s">
        <v>436</v>
      </c>
      <c r="L21" s="169" t="s">
        <v>436</v>
      </c>
      <c r="M21" s="168"/>
      <c r="N21" s="167"/>
      <c r="O21" s="168"/>
      <c r="P21" s="168"/>
      <c r="Q21" s="168"/>
      <c r="R21" s="168"/>
      <c r="S21" s="168"/>
      <c r="T21" s="168"/>
      <c r="U21" s="168" t="str">
        <f t="shared" ref="U21:AB21" si="3">IF(COUNTIF($D21,"*"&amp;U$3&amp;"*")&gt;0,"T","")&amp;IF(COUNTIF($F21,"*"&amp;U$3&amp;"*")&gt;0,"L","")&amp;IF(COUNTIF($G21,"*"&amp;U$3&amp;"*")&gt;0,"N","")</f>
        <v/>
      </c>
      <c r="V21" s="26" t="str">
        <f t="shared" si="3"/>
        <v/>
      </c>
      <c r="W21" s="26" t="str">
        <f t="shared" si="3"/>
        <v/>
      </c>
      <c r="X21" s="26" t="str">
        <f t="shared" si="3"/>
        <v/>
      </c>
      <c r="Y21" s="26" t="str">
        <f t="shared" si="3"/>
        <v/>
      </c>
      <c r="Z21" s="26" t="str">
        <f t="shared" si="3"/>
        <v/>
      </c>
      <c r="AA21" s="26" t="str">
        <f t="shared" si="3"/>
        <v/>
      </c>
      <c r="AB21" s="26" t="str">
        <f t="shared" si="3"/>
        <v/>
      </c>
      <c r="AC21" s="26"/>
      <c r="AD21" s="26"/>
      <c r="AE21" s="26"/>
      <c r="AF21" s="26"/>
      <c r="AG21" s="26"/>
      <c r="AH21" s="26"/>
      <c r="AI21" s="26"/>
      <c r="AJ21" s="26"/>
      <c r="AK21" s="26"/>
      <c r="AL21" s="26"/>
      <c r="AM21" s="26"/>
      <c r="AN21" s="26" t="str">
        <f t="shared" ref="AN21:AQ21" si="4">IF(COUNTIF($D21,"*"&amp;AN$3&amp;"*")&gt;0,"T","")&amp;IF(COUNTIF($F21,"*"&amp;AN$3&amp;"*")&gt;0,"L","")&amp;IF(COUNTIF($G21,"*"&amp;AN$3&amp;"*")&gt;0,"N","")</f>
        <v/>
      </c>
      <c r="AO21" s="26" t="str">
        <f t="shared" si="4"/>
        <v/>
      </c>
      <c r="AP21" s="26" t="str">
        <f t="shared" si="4"/>
        <v/>
      </c>
      <c r="AQ21" s="26" t="str">
        <f t="shared" si="4"/>
        <v/>
      </c>
      <c r="AR21" s="26"/>
      <c r="AS21" s="26" t="str">
        <f t="shared" si="5"/>
        <v/>
      </c>
      <c r="AT21" s="26"/>
      <c r="AU21" s="26"/>
      <c r="AV21" s="26"/>
    </row>
    <row r="22">
      <c r="A22" s="168"/>
      <c r="B22" s="182" t="s">
        <v>413</v>
      </c>
      <c r="C22" s="168" t="s">
        <v>66</v>
      </c>
      <c r="D22" s="168" t="s">
        <v>66</v>
      </c>
      <c r="E22" s="26" t="s">
        <v>66</v>
      </c>
      <c r="F22" s="168" t="s">
        <v>66</v>
      </c>
      <c r="G22" s="163" t="s">
        <v>436</v>
      </c>
      <c r="H22" s="168" t="s">
        <v>66</v>
      </c>
      <c r="I22" s="168" t="s">
        <v>66</v>
      </c>
      <c r="J22" s="168" t="s">
        <v>66</v>
      </c>
      <c r="K22" s="168" t="s">
        <v>66</v>
      </c>
      <c r="L22" s="185" t="s">
        <v>66</v>
      </c>
      <c r="M22" s="168"/>
      <c r="N22" s="167"/>
      <c r="O22" s="168"/>
      <c r="P22" s="168"/>
      <c r="Q22" s="168"/>
      <c r="R22" s="168"/>
      <c r="S22" s="168"/>
      <c r="T22" s="168"/>
      <c r="U22" s="168"/>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row>
    <row r="23">
      <c r="A23" s="168"/>
      <c r="B23" s="182" t="s">
        <v>417</v>
      </c>
      <c r="C23" s="168" t="s">
        <v>66</v>
      </c>
      <c r="D23" s="168" t="s">
        <v>66</v>
      </c>
      <c r="E23" s="26" t="s">
        <v>66</v>
      </c>
      <c r="F23" s="163" t="s">
        <v>436</v>
      </c>
      <c r="G23" s="168" t="s">
        <v>66</v>
      </c>
      <c r="H23" s="163" t="s">
        <v>436</v>
      </c>
      <c r="I23" s="163" t="s">
        <v>436</v>
      </c>
      <c r="J23" s="168" t="s">
        <v>66</v>
      </c>
      <c r="K23" s="168" t="s">
        <v>66</v>
      </c>
      <c r="L23" s="185" t="s">
        <v>66</v>
      </c>
      <c r="M23" s="168"/>
      <c r="N23" s="167"/>
      <c r="O23" s="168"/>
      <c r="P23" s="168"/>
      <c r="Q23" s="168"/>
      <c r="R23" s="168"/>
      <c r="S23" s="168"/>
      <c r="T23" s="168"/>
      <c r="U23" s="168"/>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row>
    <row r="24">
      <c r="A24" s="168"/>
      <c r="B24" s="182" t="s">
        <v>422</v>
      </c>
      <c r="C24" s="168" t="s">
        <v>66</v>
      </c>
      <c r="D24" s="168" t="s">
        <v>66</v>
      </c>
      <c r="E24" s="26" t="s">
        <v>66</v>
      </c>
      <c r="F24" s="168" t="s">
        <v>66</v>
      </c>
      <c r="G24" s="163" t="s">
        <v>436</v>
      </c>
      <c r="H24" s="168" t="s">
        <v>66</v>
      </c>
      <c r="I24" s="163" t="s">
        <v>436</v>
      </c>
      <c r="J24" s="168" t="s">
        <v>66</v>
      </c>
      <c r="K24" s="168" t="s">
        <v>66</v>
      </c>
      <c r="L24" s="185" t="s">
        <v>66</v>
      </c>
      <c r="M24" s="168"/>
      <c r="N24" s="167"/>
      <c r="O24" s="168"/>
      <c r="P24" s="168"/>
      <c r="Q24" s="168"/>
      <c r="R24" s="168"/>
      <c r="S24" s="168"/>
      <c r="T24" s="168"/>
      <c r="U24" s="168"/>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row>
    <row r="25">
      <c r="A25" s="168"/>
      <c r="B25" s="182" t="s">
        <v>426</v>
      </c>
      <c r="C25" s="168" t="s">
        <v>66</v>
      </c>
      <c r="D25" s="168" t="s">
        <v>66</v>
      </c>
      <c r="E25" s="26"/>
      <c r="F25" s="168" t="s">
        <v>66</v>
      </c>
      <c r="G25" s="163" t="s">
        <v>436</v>
      </c>
      <c r="H25" s="168"/>
      <c r="I25" s="168"/>
      <c r="J25" s="163" t="s">
        <v>436</v>
      </c>
      <c r="K25" s="168" t="s">
        <v>66</v>
      </c>
      <c r="L25" s="185" t="s">
        <v>66</v>
      </c>
      <c r="M25" s="168"/>
      <c r="N25" s="167"/>
      <c r="O25" s="168"/>
      <c r="P25" s="168"/>
      <c r="Q25" s="168"/>
      <c r="R25" s="168"/>
      <c r="S25" s="168"/>
      <c r="T25" s="168"/>
      <c r="U25" s="168"/>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row>
    <row r="26">
      <c r="A26" s="168"/>
      <c r="B26" s="186" t="s">
        <v>431</v>
      </c>
      <c r="C26" s="187"/>
      <c r="D26" s="188" t="s">
        <v>436</v>
      </c>
      <c r="E26" s="98" t="s">
        <v>436</v>
      </c>
      <c r="F26" s="187"/>
      <c r="G26" s="188" t="s">
        <v>436</v>
      </c>
      <c r="H26" s="187"/>
      <c r="I26" s="188" t="s">
        <v>436</v>
      </c>
      <c r="J26" s="188" t="s">
        <v>436</v>
      </c>
      <c r="K26" s="187"/>
      <c r="L26" s="189"/>
      <c r="M26" s="168"/>
      <c r="N26" s="168"/>
      <c r="O26" s="168"/>
      <c r="P26" s="168"/>
      <c r="Q26" s="168"/>
      <c r="R26" s="168"/>
      <c r="S26" s="168"/>
      <c r="T26" s="168"/>
      <c r="U26" s="168"/>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row>
    <row r="27">
      <c r="A27" s="168"/>
      <c r="B27" s="168"/>
      <c r="C27" s="168"/>
      <c r="D27" s="168"/>
      <c r="E27" s="168"/>
      <c r="F27" s="168"/>
      <c r="G27" s="168"/>
      <c r="H27" s="168"/>
      <c r="I27" s="168"/>
      <c r="J27" s="168"/>
      <c r="K27" s="168"/>
      <c r="L27" s="168"/>
      <c r="M27" s="168"/>
      <c r="N27" s="168"/>
      <c r="O27" s="168"/>
      <c r="P27" s="168"/>
      <c r="Q27" s="168"/>
      <c r="R27" s="168"/>
      <c r="S27" s="168"/>
      <c r="T27" s="168"/>
      <c r="U27" s="168"/>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row>
    <row r="28">
      <c r="A28" s="168"/>
      <c r="B28" s="168"/>
      <c r="C28" s="168"/>
      <c r="D28" s="168"/>
      <c r="E28" s="168"/>
      <c r="F28" s="168"/>
      <c r="G28" s="168"/>
      <c r="H28" s="168"/>
      <c r="I28" s="168"/>
      <c r="J28" s="168"/>
      <c r="K28" s="168"/>
      <c r="L28" s="168"/>
      <c r="M28" s="168"/>
      <c r="N28" s="167"/>
      <c r="O28" s="168"/>
      <c r="P28" s="168"/>
      <c r="Q28" s="167"/>
      <c r="R28" s="168"/>
      <c r="S28" s="168"/>
      <c r="T28" s="168"/>
      <c r="U28" s="168"/>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row>
    <row r="29">
      <c r="A29" s="168"/>
      <c r="B29" s="168"/>
      <c r="C29" s="168"/>
      <c r="D29" s="168"/>
      <c r="E29" s="168"/>
      <c r="F29" s="168"/>
      <c r="G29" s="168"/>
      <c r="H29" s="168"/>
      <c r="I29" s="168"/>
      <c r="J29" s="168"/>
      <c r="K29" s="168"/>
      <c r="L29" s="168"/>
      <c r="M29" s="168"/>
      <c r="N29" s="167"/>
      <c r="O29" s="168"/>
      <c r="P29" s="168"/>
      <c r="Q29" s="167"/>
      <c r="R29" s="168"/>
      <c r="S29" s="168"/>
      <c r="T29" s="168"/>
      <c r="U29" s="168"/>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row>
    <row r="30">
      <c r="A30" s="168"/>
      <c r="B30" s="168"/>
      <c r="C30" s="168"/>
      <c r="D30" s="168"/>
      <c r="E30" s="168"/>
      <c r="F30" s="168"/>
      <c r="G30" s="168"/>
      <c r="H30" s="168"/>
      <c r="I30" s="168"/>
      <c r="J30" s="168"/>
      <c r="K30" s="168"/>
      <c r="L30" s="168"/>
      <c r="M30" s="168"/>
      <c r="N30" s="167"/>
      <c r="O30" s="168"/>
      <c r="P30" s="168"/>
      <c r="Q30" s="167"/>
      <c r="R30" s="168"/>
      <c r="S30" s="168"/>
      <c r="T30" s="168"/>
      <c r="U30" s="168"/>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row>
    <row r="31">
      <c r="A31" s="168"/>
      <c r="B31" s="168"/>
      <c r="C31" s="168"/>
      <c r="D31" s="168"/>
      <c r="E31" s="168"/>
      <c r="F31" s="168"/>
      <c r="G31" s="168"/>
      <c r="H31" s="168"/>
      <c r="I31" s="168"/>
      <c r="J31" s="168"/>
      <c r="K31" s="168"/>
      <c r="L31" s="168"/>
      <c r="M31" s="168"/>
      <c r="N31" s="167"/>
      <c r="O31" s="168"/>
      <c r="P31" s="168"/>
      <c r="Q31" s="167"/>
      <c r="R31" s="168"/>
      <c r="S31" s="168"/>
      <c r="T31" s="168"/>
      <c r="U31" s="168"/>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row>
    <row r="32">
      <c r="A32" s="168"/>
      <c r="B32" s="168"/>
      <c r="C32" s="168"/>
      <c r="D32" s="168"/>
      <c r="E32" s="168"/>
      <c r="F32" s="168"/>
      <c r="G32" s="168"/>
      <c r="H32" s="168"/>
      <c r="I32" s="168"/>
      <c r="J32" s="168"/>
      <c r="K32" s="168"/>
      <c r="L32" s="168"/>
      <c r="M32" s="168"/>
      <c r="N32" s="167"/>
      <c r="O32" s="168"/>
      <c r="P32" s="168"/>
      <c r="Q32" s="167"/>
      <c r="R32" s="168"/>
      <c r="S32" s="168"/>
      <c r="T32" s="168"/>
      <c r="U32" s="168"/>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row>
    <row r="33">
      <c r="A33" s="168"/>
      <c r="B33" s="168"/>
      <c r="C33" s="168"/>
      <c r="D33" s="168"/>
      <c r="E33" s="168"/>
      <c r="F33" s="168"/>
      <c r="G33" s="168"/>
      <c r="H33" s="168"/>
      <c r="I33" s="168"/>
      <c r="J33" s="168"/>
      <c r="K33" s="168"/>
      <c r="L33" s="168"/>
      <c r="M33" s="168"/>
      <c r="N33" s="167"/>
      <c r="O33" s="168"/>
      <c r="P33" s="168"/>
      <c r="Q33" s="167"/>
      <c r="R33" s="168"/>
      <c r="S33" s="168"/>
      <c r="T33" s="168"/>
      <c r="U33" s="168"/>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row>
    <row r="34">
      <c r="A34" s="168"/>
      <c r="B34" s="168"/>
      <c r="C34" s="166"/>
      <c r="D34" s="168"/>
      <c r="E34" s="168"/>
      <c r="F34" s="168"/>
      <c r="G34" s="168"/>
      <c r="H34" s="168"/>
      <c r="I34" s="168"/>
      <c r="J34" s="168"/>
      <c r="K34" s="168"/>
      <c r="L34" s="168"/>
      <c r="M34" s="168"/>
      <c r="N34" s="168"/>
      <c r="O34" s="168"/>
      <c r="P34" s="168"/>
      <c r="Q34" s="168"/>
      <c r="R34" s="168"/>
      <c r="S34" s="168"/>
      <c r="T34" s="168"/>
      <c r="U34" s="168"/>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row>
    <row r="35">
      <c r="A35" s="168"/>
      <c r="B35" s="168"/>
      <c r="C35" s="190"/>
      <c r="D35" s="190"/>
      <c r="E35" s="190"/>
      <c r="F35" s="190"/>
      <c r="G35" s="190"/>
      <c r="H35" s="190"/>
      <c r="I35" s="190"/>
      <c r="J35" s="190"/>
      <c r="K35" s="190"/>
      <c r="L35" s="190"/>
      <c r="M35" s="190"/>
      <c r="N35" s="190"/>
      <c r="O35" s="190"/>
      <c r="P35" s="190"/>
      <c r="Q35" s="190"/>
      <c r="R35" s="168"/>
      <c r="S35" s="168"/>
      <c r="T35" s="168"/>
      <c r="U35" s="168"/>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row>
    <row r="36">
      <c r="A36" s="168"/>
      <c r="B36" s="168"/>
      <c r="C36" s="168"/>
      <c r="D36" s="168"/>
      <c r="E36" s="168"/>
      <c r="F36" s="168"/>
      <c r="G36" s="168"/>
      <c r="H36" s="168"/>
      <c r="I36" s="168"/>
      <c r="J36" s="168"/>
      <c r="K36" s="168"/>
      <c r="L36" s="168"/>
      <c r="M36" s="168"/>
      <c r="N36" s="167"/>
      <c r="O36" s="168"/>
      <c r="P36" s="168"/>
      <c r="Q36" s="168"/>
      <c r="R36" s="168"/>
      <c r="S36" s="168"/>
      <c r="T36" s="168"/>
      <c r="U36" s="168"/>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row>
    <row r="37">
      <c r="A37" s="168"/>
      <c r="B37" s="168"/>
      <c r="C37" s="168"/>
      <c r="D37" s="168"/>
      <c r="E37" s="168"/>
      <c r="F37" s="168"/>
      <c r="G37" s="168"/>
      <c r="H37" s="168"/>
      <c r="I37" s="168"/>
      <c r="J37" s="168"/>
      <c r="K37" s="168"/>
      <c r="L37" s="168"/>
      <c r="M37" s="168"/>
      <c r="N37" s="167"/>
      <c r="O37" s="168"/>
      <c r="P37" s="168"/>
      <c r="Q37" s="168"/>
      <c r="R37" s="168"/>
      <c r="S37" s="168"/>
      <c r="T37" s="168"/>
      <c r="U37" s="168"/>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row>
    <row r="38">
      <c r="A38" s="168"/>
      <c r="B38" s="168"/>
      <c r="C38" s="168"/>
      <c r="D38" s="168"/>
      <c r="E38" s="168"/>
      <c r="F38" s="168"/>
      <c r="G38" s="168"/>
      <c r="H38" s="168"/>
      <c r="I38" s="168"/>
      <c r="J38" s="168"/>
      <c r="K38" s="168"/>
      <c r="L38" s="168"/>
      <c r="M38" s="168"/>
      <c r="N38" s="167"/>
      <c r="O38" s="168"/>
      <c r="P38" s="168"/>
      <c r="Q38" s="168"/>
      <c r="R38" s="168"/>
      <c r="S38" s="168"/>
      <c r="T38" s="168"/>
      <c r="U38" s="168"/>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row>
    <row r="39">
      <c r="A39" s="168"/>
      <c r="B39" s="168"/>
      <c r="C39" s="168"/>
      <c r="D39" s="168"/>
      <c r="E39" s="168"/>
      <c r="F39" s="168"/>
      <c r="G39" s="168"/>
      <c r="H39" s="168"/>
      <c r="I39" s="168"/>
      <c r="J39" s="168"/>
      <c r="K39" s="168"/>
      <c r="L39" s="168"/>
      <c r="M39" s="168"/>
      <c r="N39" s="167"/>
      <c r="O39" s="168"/>
      <c r="P39" s="168"/>
      <c r="Q39" s="168"/>
      <c r="R39" s="168"/>
      <c r="S39" s="168"/>
      <c r="T39" s="168"/>
      <c r="U39" s="168"/>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row>
    <row r="40">
      <c r="A40" s="168"/>
      <c r="B40" s="168"/>
      <c r="C40" s="168"/>
      <c r="D40" s="168"/>
      <c r="E40" s="168"/>
      <c r="F40" s="168"/>
      <c r="G40" s="168"/>
      <c r="H40" s="168"/>
      <c r="I40" s="168"/>
      <c r="J40" s="168"/>
      <c r="K40" s="168"/>
      <c r="L40" s="168"/>
      <c r="M40" s="168"/>
      <c r="N40" s="167"/>
      <c r="O40" s="168"/>
      <c r="P40" s="168"/>
      <c r="Q40" s="168"/>
      <c r="R40" s="168"/>
      <c r="S40" s="168"/>
      <c r="T40" s="168"/>
      <c r="U40" s="168"/>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row>
    <row r="41">
      <c r="A41" s="168"/>
      <c r="B41" s="168"/>
      <c r="C41" s="168"/>
      <c r="D41" s="168"/>
      <c r="E41" s="168"/>
      <c r="F41" s="168"/>
      <c r="G41" s="168"/>
      <c r="H41" s="168"/>
      <c r="I41" s="168"/>
      <c r="J41" s="168"/>
      <c r="K41" s="168"/>
      <c r="L41" s="168"/>
      <c r="M41" s="168"/>
      <c r="N41" s="168"/>
      <c r="O41" s="168"/>
      <c r="P41" s="168"/>
      <c r="Q41" s="168"/>
      <c r="R41" s="168"/>
      <c r="S41" s="168"/>
      <c r="T41" s="168"/>
      <c r="U41" s="168"/>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row>
    <row r="42">
      <c r="A42" s="168"/>
      <c r="B42" s="168"/>
      <c r="C42" s="168"/>
      <c r="D42" s="168"/>
      <c r="E42" s="168"/>
      <c r="F42" s="168"/>
      <c r="G42" s="168"/>
      <c r="H42" s="168"/>
      <c r="I42" s="168"/>
      <c r="J42" s="168"/>
      <c r="K42" s="168"/>
      <c r="L42" s="168"/>
      <c r="M42" s="168"/>
      <c r="N42" s="168"/>
      <c r="O42" s="168"/>
      <c r="P42" s="168"/>
      <c r="Q42" s="168"/>
      <c r="R42" s="168"/>
      <c r="S42" s="168"/>
      <c r="T42" s="168"/>
      <c r="U42" s="168"/>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row>
    <row r="43">
      <c r="A43" s="168"/>
      <c r="B43" s="168"/>
      <c r="C43" s="168"/>
      <c r="D43" s="168"/>
      <c r="E43" s="168"/>
      <c r="F43" s="168"/>
      <c r="G43" s="168"/>
      <c r="H43" s="168"/>
      <c r="I43" s="168"/>
      <c r="J43" s="168"/>
      <c r="K43" s="168"/>
      <c r="L43" s="168"/>
      <c r="M43" s="168"/>
      <c r="N43" s="168"/>
      <c r="O43" s="168"/>
      <c r="P43" s="168"/>
      <c r="Q43" s="168"/>
      <c r="R43" s="168"/>
      <c r="S43" s="168"/>
      <c r="T43" s="168"/>
      <c r="U43" s="168"/>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row>
    <row r="44">
      <c r="A44" s="168"/>
      <c r="B44" s="168"/>
      <c r="C44" s="168"/>
      <c r="D44" s="168"/>
      <c r="E44" s="168"/>
      <c r="F44" s="168"/>
      <c r="G44" s="168"/>
      <c r="H44" s="168"/>
      <c r="I44" s="168"/>
      <c r="J44" s="168"/>
      <c r="K44" s="168"/>
      <c r="L44" s="168"/>
      <c r="M44" s="168"/>
      <c r="N44" s="168"/>
      <c r="O44" s="168"/>
      <c r="P44" s="168"/>
      <c r="Q44" s="168"/>
      <c r="R44" s="168"/>
      <c r="S44" s="168"/>
      <c r="T44" s="168"/>
      <c r="U44" s="168"/>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row>
    <row r="45">
      <c r="A45" s="168"/>
      <c r="B45" s="168"/>
      <c r="C45" s="168"/>
      <c r="D45" s="168"/>
      <c r="E45" s="168"/>
      <c r="F45" s="168"/>
      <c r="G45" s="168"/>
      <c r="H45" s="168"/>
      <c r="I45" s="168"/>
      <c r="J45" s="168"/>
      <c r="K45" s="168"/>
      <c r="L45" s="168"/>
      <c r="M45" s="168"/>
      <c r="N45" s="168"/>
      <c r="O45" s="168"/>
      <c r="P45" s="168"/>
      <c r="Q45" s="168"/>
      <c r="R45" s="168"/>
      <c r="S45" s="168"/>
      <c r="T45" s="168"/>
      <c r="U45" s="168"/>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row>
    <row r="46">
      <c r="A46" s="168"/>
      <c r="B46" s="168"/>
      <c r="C46" s="168"/>
      <c r="D46" s="168"/>
      <c r="E46" s="168"/>
      <c r="F46" s="168"/>
      <c r="G46" s="168"/>
      <c r="H46" s="168"/>
      <c r="I46" s="168"/>
      <c r="J46" s="168"/>
      <c r="K46" s="168"/>
      <c r="L46" s="168"/>
      <c r="M46" s="168"/>
      <c r="N46" s="168"/>
      <c r="O46" s="168"/>
      <c r="P46" s="168"/>
      <c r="Q46" s="168"/>
      <c r="R46" s="168"/>
      <c r="S46" s="168"/>
      <c r="T46" s="168"/>
      <c r="U46" s="168"/>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row>
    <row r="47">
      <c r="A47" s="168"/>
      <c r="B47" s="168"/>
      <c r="C47" s="168"/>
      <c r="D47" s="168"/>
      <c r="E47" s="168"/>
      <c r="F47" s="168"/>
      <c r="G47" s="168"/>
      <c r="H47" s="168"/>
      <c r="I47" s="168"/>
      <c r="J47" s="168"/>
      <c r="K47" s="168"/>
      <c r="L47" s="168"/>
      <c r="M47" s="168"/>
      <c r="N47" s="168"/>
      <c r="O47" s="168"/>
      <c r="P47" s="168"/>
      <c r="Q47" s="168"/>
      <c r="R47" s="168"/>
      <c r="S47" s="168"/>
      <c r="T47" s="168"/>
      <c r="U47" s="168"/>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row>
    <row r="48">
      <c r="A48" s="168"/>
      <c r="B48" s="168"/>
      <c r="C48" s="168"/>
      <c r="D48" s="168"/>
      <c r="E48" s="168"/>
      <c r="F48" s="168"/>
      <c r="G48" s="168"/>
      <c r="H48" s="168"/>
      <c r="I48" s="168"/>
      <c r="J48" s="168"/>
      <c r="K48" s="168"/>
      <c r="L48" s="168"/>
      <c r="M48" s="168"/>
      <c r="N48" s="168"/>
      <c r="O48" s="168"/>
      <c r="P48" s="168"/>
      <c r="Q48" s="168"/>
      <c r="R48" s="168"/>
      <c r="S48" s="168"/>
      <c r="T48" s="168"/>
      <c r="U48" s="168"/>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row>
    <row r="49">
      <c r="A49" s="168"/>
      <c r="B49" s="168"/>
      <c r="C49" s="168"/>
      <c r="D49" s="168"/>
      <c r="E49" s="168"/>
      <c r="F49" s="168"/>
      <c r="G49" s="168"/>
      <c r="H49" s="168"/>
      <c r="I49" s="168"/>
      <c r="J49" s="168"/>
      <c r="K49" s="168"/>
      <c r="L49" s="168"/>
      <c r="M49" s="168"/>
      <c r="N49" s="168"/>
      <c r="O49" s="168"/>
      <c r="P49" s="168"/>
      <c r="Q49" s="168"/>
      <c r="R49" s="168"/>
      <c r="S49" s="168"/>
      <c r="T49" s="168"/>
      <c r="U49" s="168"/>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row>
    <row r="50">
      <c r="A50" s="168"/>
      <c r="B50" s="168"/>
      <c r="C50" s="168"/>
      <c r="D50" s="168"/>
      <c r="E50" s="168"/>
      <c r="F50" s="168"/>
      <c r="G50" s="168"/>
      <c r="H50" s="168"/>
      <c r="I50" s="168"/>
      <c r="J50" s="168"/>
      <c r="K50" s="168"/>
      <c r="L50" s="168"/>
      <c r="M50" s="168"/>
      <c r="N50" s="168"/>
      <c r="O50" s="168"/>
      <c r="P50" s="168"/>
      <c r="Q50" s="168"/>
      <c r="R50" s="168"/>
      <c r="S50" s="168"/>
      <c r="T50" s="168"/>
      <c r="U50" s="168"/>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row>
    <row r="51">
      <c r="A51" s="168"/>
      <c r="B51" s="168"/>
      <c r="C51" s="168"/>
      <c r="D51" s="168"/>
      <c r="E51" s="168"/>
      <c r="F51" s="168"/>
      <c r="G51" s="168"/>
      <c r="H51" s="168"/>
      <c r="I51" s="168"/>
      <c r="J51" s="168"/>
      <c r="K51" s="168"/>
      <c r="L51" s="168"/>
      <c r="M51" s="168"/>
      <c r="N51" s="168"/>
      <c r="O51" s="168"/>
      <c r="P51" s="168"/>
      <c r="Q51" s="168"/>
      <c r="R51" s="168"/>
      <c r="S51" s="168"/>
      <c r="T51" s="168"/>
      <c r="U51" s="168"/>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row>
    <row r="52">
      <c r="A52" s="168"/>
      <c r="B52" s="168"/>
      <c r="C52" s="168"/>
      <c r="D52" s="168"/>
      <c r="E52" s="168"/>
      <c r="F52" s="168"/>
      <c r="G52" s="168"/>
      <c r="H52" s="168"/>
      <c r="I52" s="168"/>
      <c r="J52" s="168"/>
      <c r="K52" s="168"/>
      <c r="L52" s="168"/>
      <c r="M52" s="168"/>
      <c r="N52" s="168"/>
      <c r="O52" s="168"/>
      <c r="P52" s="168"/>
      <c r="Q52" s="168"/>
      <c r="R52" s="168"/>
      <c r="S52" s="168"/>
      <c r="T52" s="168"/>
      <c r="U52" s="168"/>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row>
    <row r="53">
      <c r="A53" s="168"/>
      <c r="B53" s="168"/>
      <c r="C53" s="168"/>
      <c r="D53" s="168"/>
      <c r="E53" s="168"/>
      <c r="F53" s="168"/>
      <c r="G53" s="168"/>
      <c r="H53" s="168"/>
      <c r="I53" s="168"/>
      <c r="J53" s="168"/>
      <c r="K53" s="168"/>
      <c r="L53" s="168"/>
      <c r="M53" s="168"/>
      <c r="N53" s="168"/>
      <c r="O53" s="168"/>
      <c r="P53" s="168"/>
      <c r="Q53" s="168"/>
      <c r="R53" s="168"/>
      <c r="S53" s="168"/>
      <c r="T53" s="168"/>
      <c r="U53" s="168"/>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row>
    <row r="54">
      <c r="A54" s="168"/>
      <c r="B54" s="168"/>
      <c r="C54" s="168"/>
      <c r="D54" s="168"/>
      <c r="E54" s="168"/>
      <c r="F54" s="168"/>
      <c r="G54" s="168"/>
      <c r="H54" s="168"/>
      <c r="I54" s="168"/>
      <c r="J54" s="168"/>
      <c r="K54" s="168"/>
      <c r="L54" s="168"/>
      <c r="M54" s="168"/>
      <c r="N54" s="168"/>
      <c r="O54" s="168"/>
      <c r="P54" s="168"/>
      <c r="Q54" s="168"/>
      <c r="R54" s="168"/>
      <c r="S54" s="168"/>
      <c r="T54" s="168"/>
      <c r="U54" s="168"/>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row>
    <row r="55">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row>
    <row r="56">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row>
    <row r="57">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row>
    <row r="58">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row>
    <row r="59">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row>
    <row r="60">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row>
    <row r="6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row>
    <row r="6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row>
    <row r="63">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row>
    <row r="64">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row>
    <row r="6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row>
    <row r="66">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row>
    <row r="67">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row>
    <row r="68">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row>
    <row r="69">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row>
    <row r="70">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row>
    <row r="7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row>
    <row r="72">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row>
    <row r="73">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row>
    <row r="74">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row>
    <row r="7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row>
    <row r="76">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row>
    <row r="77">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row>
    <row r="78">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row>
    <row r="79">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row>
    <row r="80">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row>
    <row r="8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row>
    <row r="82">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row>
    <row r="83">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row>
    <row r="84">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row>
    <row r="8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row>
    <row r="86">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row>
    <row r="87">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row>
    <row r="88">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row>
    <row r="89">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row>
    <row r="90">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row>
    <row r="9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row>
    <row r="9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row>
    <row r="93">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row>
    <row r="94">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row>
    <row r="9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row>
    <row r="96">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row>
    <row r="97">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row>
    <row r="98">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row>
    <row r="99">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row>
    <row r="100">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row>
    <row r="10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row>
    <row r="1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row>
    <row r="103">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row>
    <row r="104">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row>
    <row r="10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row>
    <row r="106">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row>
    <row r="107">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row>
    <row r="108">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row>
    <row r="109">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row>
    <row r="110">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row>
    <row r="11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row>
    <row r="11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row>
    <row r="11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row>
    <row r="114">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row>
    <row r="11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row>
    <row r="116">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row>
    <row r="117">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row>
    <row r="118">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row>
    <row r="119">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row>
    <row r="120">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row>
    <row r="12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row>
    <row r="12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row>
    <row r="12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row>
    <row r="124">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row>
    <row r="12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row>
    <row r="126">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row>
    <row r="127">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row>
    <row r="128">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row>
    <row r="129">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row>
    <row r="130">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row>
    <row r="13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row>
    <row r="13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row>
    <row r="133">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row>
    <row r="134">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row>
    <row r="13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row>
    <row r="136">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row>
    <row r="137">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row>
    <row r="138">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row>
    <row r="139">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row>
    <row r="140">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row>
    <row r="14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row>
    <row r="14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row>
    <row r="143">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row>
    <row r="144">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row>
    <row r="14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row>
    <row r="146">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row>
    <row r="147">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row>
    <row r="148">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row>
    <row r="149">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row>
    <row r="150">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row>
    <row r="15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row>
    <row r="15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row>
    <row r="153">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row>
    <row r="154">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row>
    <row r="15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row>
    <row r="156">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row>
    <row r="157">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row>
    <row r="158">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row>
    <row r="159">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row>
    <row r="160">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row>
    <row r="16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row>
    <row r="16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row>
    <row r="163">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row>
    <row r="164">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row>
    <row r="16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row>
    <row r="166">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row>
    <row r="167">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row>
    <row r="168">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row>
    <row r="169">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row>
    <row r="170">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row>
    <row r="17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row>
    <row r="17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row>
    <row r="173">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row>
    <row r="174">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row>
    <row r="17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row>
    <row r="176">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row>
    <row r="177">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row>
    <row r="178">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row>
    <row r="179">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row>
    <row r="180">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row>
    <row r="18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row>
    <row r="18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row>
    <row r="183">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row>
    <row r="184">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row>
    <row r="18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row>
    <row r="186">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row>
    <row r="187">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row>
    <row r="188">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row>
    <row r="189">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row>
    <row r="190">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row>
    <row r="19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row>
    <row r="19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row>
    <row r="193">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row>
    <row r="194">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row>
    <row r="19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row>
    <row r="196">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row>
    <row r="197">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row>
    <row r="198">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row>
    <row r="199">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row>
    <row r="200">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row>
    <row r="20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row>
    <row r="2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row>
    <row r="203">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row>
    <row r="204">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row>
    <row r="20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row>
    <row r="206">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row>
    <row r="207">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row>
    <row r="208">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row>
    <row r="209">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row>
    <row r="210">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row>
    <row r="21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row>
    <row r="21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row>
    <row r="213">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row>
    <row r="214">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row>
    <row r="21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row>
    <row r="216">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row>
    <row r="217">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row>
    <row r="218">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row>
    <row r="219">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row>
    <row r="220">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row>
    <row r="22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row>
    <row r="22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row>
    <row r="223">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row>
    <row r="224">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row>
    <row r="22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row>
    <row r="226">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row>
    <row r="227">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row>
    <row r="228">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row>
    <row r="229">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row>
    <row r="230">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row>
    <row r="23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row>
    <row r="23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row>
    <row r="233">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row>
    <row r="234">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row>
    <row r="23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row>
    <row r="236">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row>
    <row r="237">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row>
    <row r="238">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row>
    <row r="239">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row>
    <row r="240">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row>
    <row r="24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row>
    <row r="24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row>
    <row r="243">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row>
    <row r="244">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row>
    <row r="24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row>
    <row r="246">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row>
    <row r="247">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row>
    <row r="248">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row>
    <row r="249">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row>
    <row r="250">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row>
    <row r="25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row>
    <row r="25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row>
    <row r="253">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row>
    <row r="254">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row>
    <row r="25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row>
    <row r="256">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row>
    <row r="257">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row>
    <row r="258">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row>
    <row r="259">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row>
    <row r="260">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row>
    <row r="26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row>
    <row r="26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row>
    <row r="263">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row>
    <row r="264">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row>
    <row r="26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row>
    <row r="266">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row>
    <row r="267">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row>
    <row r="268">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row>
    <row r="269">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row>
    <row r="270">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row>
    <row r="27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row>
    <row r="27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row>
    <row r="273">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row>
    <row r="274">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row>
    <row r="27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row>
    <row r="276">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row>
    <row r="277">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row>
    <row r="278">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row>
    <row r="279">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row>
    <row r="280">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row>
    <row r="28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row>
    <row r="28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row>
    <row r="283">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row>
    <row r="284">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row>
    <row r="28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row>
    <row r="286">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row>
    <row r="287">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row>
    <row r="288">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row>
    <row r="289">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row>
    <row r="290">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row>
    <row r="29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row>
    <row r="29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row>
    <row r="293">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row>
    <row r="294">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row>
    <row r="29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row>
    <row r="296">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row>
    <row r="297">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row>
    <row r="298">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row>
    <row r="299">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row>
    <row r="300">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row>
    <row r="30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row>
    <row r="3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row>
    <row r="303">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row>
    <row r="304">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row>
    <row r="30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row>
    <row r="306">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row>
    <row r="307">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row>
    <row r="308">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row>
    <row r="309">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row>
    <row r="310">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row>
    <row r="31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row>
    <row r="31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row>
    <row r="313">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row>
    <row r="314">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row>
    <row r="31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row>
    <row r="316">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row>
    <row r="317">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row>
    <row r="318">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row>
    <row r="319">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row>
    <row r="320">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row>
    <row r="32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row>
    <row r="32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row>
    <row r="323">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row>
    <row r="324">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row>
    <row r="32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row>
    <row r="326">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row>
    <row r="327">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row>
    <row r="328">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row>
    <row r="329">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row>
    <row r="330">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row>
    <row r="33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row>
    <row r="33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row>
    <row r="333">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row>
    <row r="334">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row>
    <row r="33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row>
    <row r="336">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row>
    <row r="337">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row>
    <row r="338">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row>
    <row r="339">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row>
    <row r="340">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row>
    <row r="34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row>
    <row r="34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row>
    <row r="343">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row>
    <row r="344">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row>
    <row r="34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row>
    <row r="346">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row>
    <row r="347">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row>
    <row r="348">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row>
    <row r="349">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row>
    <row r="350">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row>
    <row r="35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row>
    <row r="35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row>
    <row r="353">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row>
    <row r="354">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row>
    <row r="35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row>
    <row r="356">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row>
    <row r="357">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row>
    <row r="358">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row>
    <row r="359">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row>
    <row r="360">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row>
    <row r="36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row>
    <row r="36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row>
    <row r="363">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row>
    <row r="364">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row>
    <row r="36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row>
    <row r="366">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row>
    <row r="367">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row>
    <row r="368">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row>
    <row r="369">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row>
    <row r="370">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row>
    <row r="37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row>
    <row r="37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row>
    <row r="373">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row>
    <row r="374">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row>
    <row r="37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row>
    <row r="376">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row>
    <row r="377">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row>
    <row r="378">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row>
    <row r="379">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row>
    <row r="380">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row>
    <row r="38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row>
    <row r="38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row>
    <row r="383">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row>
    <row r="384">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row>
    <row r="38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row>
    <row r="386">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row>
    <row r="387">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row>
    <row r="388">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row>
    <row r="389">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row>
    <row r="390">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row>
    <row r="39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row>
    <row r="39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row>
    <row r="393">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row>
    <row r="394">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row>
    <row r="39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row>
    <row r="396">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row>
    <row r="397">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row>
    <row r="398">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row>
    <row r="399">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row>
    <row r="400">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row>
    <row r="40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row>
    <row r="4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row>
    <row r="403">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row>
    <row r="404">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row>
    <row r="40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row>
    <row r="406">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row>
    <row r="407">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row>
    <row r="408">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row>
    <row r="409">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row>
    <row r="410">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row>
    <row r="41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row>
    <row r="41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row>
    <row r="413">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row>
    <row r="414">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row>
    <row r="41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row>
    <row r="416">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row>
    <row r="417">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row>
    <row r="418">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row>
    <row r="419">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row>
    <row r="420">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row>
    <row r="42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row>
    <row r="42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row>
    <row r="423">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row>
    <row r="424">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row>
    <row r="42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row>
    <row r="426">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row>
    <row r="427">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row>
    <row r="428">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row>
    <row r="429">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row>
    <row r="430">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row>
    <row r="43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row>
    <row r="43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row>
    <row r="433">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row>
    <row r="434">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row>
    <row r="43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row>
    <row r="436">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row>
    <row r="437">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row>
    <row r="438">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row>
    <row r="439">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row>
    <row r="440">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row>
    <row r="44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row>
    <row r="44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row>
    <row r="443">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row>
    <row r="444">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row>
    <row r="44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row>
    <row r="446">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row>
    <row r="447">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row>
    <row r="448">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row>
    <row r="449">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row>
    <row r="450">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row>
    <row r="45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row>
    <row r="45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row>
    <row r="453">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row>
    <row r="454">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row>
    <row r="45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row>
    <row r="456">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row>
    <row r="457">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row>
    <row r="458">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row>
    <row r="459">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row>
    <row r="460">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row>
    <row r="46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row>
    <row r="46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row>
    <row r="463">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row>
    <row r="464">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row>
    <row r="46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row>
    <row r="466">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row>
    <row r="467">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row>
    <row r="468">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row>
    <row r="469">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row>
    <row r="470">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row>
    <row r="47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row>
    <row r="47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row>
    <row r="473">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row>
    <row r="474">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row>
    <row r="47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row>
    <row r="476">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row>
    <row r="477">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row>
    <row r="478">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row>
    <row r="479">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row>
    <row r="480">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row>
    <row r="48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row>
    <row r="48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row>
    <row r="483">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row>
    <row r="484">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row>
    <row r="48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row>
    <row r="486">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row>
    <row r="487">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row>
    <row r="488">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row>
    <row r="489">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row>
    <row r="490">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row>
    <row r="49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row>
    <row r="49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row>
    <row r="493">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row>
    <row r="494">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row>
    <row r="49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row>
    <row r="496">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row>
    <row r="497">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row>
    <row r="498">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row>
    <row r="499">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row>
    <row r="500">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row>
    <row r="50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row>
    <row r="5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row>
    <row r="503">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row>
    <row r="504">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row>
    <row r="50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row>
    <row r="506">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row>
    <row r="507">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row>
    <row r="508">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row>
    <row r="509">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row>
    <row r="510">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row>
    <row r="51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row>
    <row r="51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row>
    <row r="513">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row>
    <row r="514">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row>
    <row r="51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row>
    <row r="516">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row>
    <row r="517">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row>
    <row r="518">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row>
    <row r="519">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row>
    <row r="520">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row>
    <row r="52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row>
    <row r="52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row>
    <row r="523">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row>
    <row r="524">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row>
    <row r="52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row>
    <row r="526">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row>
    <row r="527">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row>
    <row r="528">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row>
    <row r="529">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row>
    <row r="530">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row>
    <row r="53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row>
    <row r="53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row>
    <row r="533">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row>
    <row r="534">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row>
    <row r="53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row>
    <row r="536">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row>
    <row r="537">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row>
    <row r="538">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row>
    <row r="539">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row>
    <row r="540">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row>
    <row r="54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row>
    <row r="54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row>
    <row r="543">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row>
    <row r="544">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row>
    <row r="54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row>
    <row r="546">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row>
    <row r="547">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row>
    <row r="548">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row>
    <row r="549">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row>
    <row r="550">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row>
    <row r="55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row>
    <row r="55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row>
    <row r="553">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row>
    <row r="554">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row>
    <row r="55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row>
    <row r="556">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row>
    <row r="557">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row>
    <row r="558">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row>
    <row r="559">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row>
    <row r="560">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row>
    <row r="56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row>
    <row r="56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row>
    <row r="563">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row>
    <row r="564">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row>
    <row r="56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row>
    <row r="566">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row>
    <row r="567">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row>
    <row r="568">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row>
    <row r="569">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row>
    <row r="570">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row>
    <row r="57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row>
    <row r="57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row>
    <row r="573">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row>
    <row r="574">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row>
    <row r="57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row>
    <row r="576">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row>
    <row r="577">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row>
    <row r="578">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row>
    <row r="579">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row>
    <row r="580">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row>
    <row r="58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row>
    <row r="58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row>
    <row r="583">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row>
    <row r="584">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row>
    <row r="58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row>
    <row r="586">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row>
    <row r="587">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row>
    <row r="588">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row>
    <row r="589">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row>
    <row r="590">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row>
    <row r="59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row>
    <row r="59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row>
    <row r="593">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row>
    <row r="594">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row>
    <row r="59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row>
    <row r="596">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row>
    <row r="597">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row>
    <row r="598">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row>
    <row r="599">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row>
    <row r="600">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row>
    <row r="60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row>
    <row r="6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row>
    <row r="603">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row>
    <row r="604">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row>
    <row r="60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row>
    <row r="606">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row>
    <row r="607">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row>
    <row r="608">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row>
    <row r="609">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row>
    <row r="610">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row>
    <row r="61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row>
    <row r="61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row>
    <row r="613">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row>
    <row r="614">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row>
    <row r="61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row>
    <row r="616">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row>
    <row r="617">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row>
    <row r="618">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row>
    <row r="619">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row>
    <row r="620">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row>
    <row r="62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row>
    <row r="62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row>
    <row r="623">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row>
    <row r="624">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row>
    <row r="62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row>
    <row r="626">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row>
    <row r="627">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row>
    <row r="628">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row>
    <row r="629">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row>
    <row r="630">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row>
    <row r="63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row>
    <row r="63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row>
    <row r="633">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row>
    <row r="634">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row>
    <row r="63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row>
    <row r="636">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row>
    <row r="637">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row>
    <row r="638">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row>
    <row r="639">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row>
    <row r="640">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row>
    <row r="64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row>
    <row r="64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row>
    <row r="643">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row>
    <row r="644">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row>
    <row r="64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row>
    <row r="646">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row>
    <row r="647">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row>
    <row r="648">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row>
    <row r="649">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row>
    <row r="650">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row>
    <row r="65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row>
    <row r="65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row>
    <row r="653">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row>
    <row r="654">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row>
    <row r="65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row>
    <row r="656">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row>
    <row r="657">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row>
    <row r="658">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row>
    <row r="659">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row>
    <row r="660">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row>
    <row r="66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row>
    <row r="66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row>
    <row r="663">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row>
    <row r="664">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row>
    <row r="66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row>
    <row r="666">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row>
    <row r="667">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row>
    <row r="668">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row>
    <row r="669">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row>
    <row r="670">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row>
    <row r="67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row>
    <row r="67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row>
    <row r="673">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row>
    <row r="674">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row>
    <row r="67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row>
    <row r="676">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row>
    <row r="677">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row>
    <row r="678">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row>
    <row r="679">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row>
    <row r="680">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row>
    <row r="68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row>
    <row r="68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row>
    <row r="683">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row>
    <row r="684">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row>
    <row r="68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row>
    <row r="686">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row>
    <row r="687">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row>
    <row r="688">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row>
    <row r="689">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row>
    <row r="690">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row>
    <row r="69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row>
    <row r="69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row>
    <row r="693">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row>
    <row r="694">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row>
    <row r="69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row>
    <row r="696">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row>
    <row r="697">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row>
    <row r="698">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row>
    <row r="699">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row>
    <row r="700">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row>
    <row r="70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row>
    <row r="7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row>
    <row r="703">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row>
    <row r="704">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row>
    <row r="70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row>
    <row r="706">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row>
    <row r="707">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row>
    <row r="708">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row>
    <row r="709">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row>
    <row r="710">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row>
    <row r="71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row>
    <row r="71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row>
    <row r="713">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row>
    <row r="714">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row>
    <row r="71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row>
    <row r="716">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row>
    <row r="717">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row>
    <row r="718">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row>
    <row r="719">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row>
    <row r="720">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row>
    <row r="72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row>
    <row r="72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row>
    <row r="723">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row>
    <row r="724">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row>
    <row r="72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row>
    <row r="726">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row>
    <row r="727">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row>
    <row r="728">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row>
    <row r="729">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row>
    <row r="730">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row>
    <row r="73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row>
    <row r="73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row>
    <row r="733">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row>
    <row r="734">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row>
    <row r="73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row>
    <row r="736">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row>
    <row r="737">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row>
    <row r="738">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row>
    <row r="739">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row>
    <row r="740">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row>
    <row r="74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row>
    <row r="74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row>
    <row r="743">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row>
    <row r="744">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row>
    <row r="74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row>
    <row r="746">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row>
    <row r="747">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row>
    <row r="748">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row>
    <row r="749">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row>
    <row r="750">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row>
    <row r="75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row>
    <row r="75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row>
    <row r="753">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row>
    <row r="754">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row>
    <row r="75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row>
    <row r="756">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row>
    <row r="757">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row>
    <row r="758">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row>
    <row r="759">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row>
    <row r="760">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row>
    <row r="76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row>
    <row r="76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row>
    <row r="763">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row>
    <row r="764">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row>
    <row r="76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row>
    <row r="766">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row>
    <row r="767">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row>
    <row r="768">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row>
    <row r="769">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row>
    <row r="770">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row>
    <row r="77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row>
    <row r="77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row>
    <row r="773">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row>
    <row r="774">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row>
    <row r="77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row>
    <row r="776">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row>
    <row r="777">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row>
    <row r="778">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row>
    <row r="779">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row>
    <row r="780">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row>
    <row r="78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row>
    <row r="78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row>
    <row r="783">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row>
    <row r="784">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row>
    <row r="78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row>
    <row r="786">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row>
    <row r="787">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row>
    <row r="788">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row>
    <row r="789">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row>
    <row r="790">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row>
    <row r="79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row>
    <row r="79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row>
    <row r="793">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row>
    <row r="794">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row>
    <row r="79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row>
    <row r="796">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row>
    <row r="797">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row>
    <row r="798">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row>
    <row r="799">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row>
    <row r="800">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row>
    <row r="80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row>
    <row r="8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row>
    <row r="803">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row>
    <row r="804">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row>
    <row r="80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row>
    <row r="806">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row>
    <row r="807">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row>
    <row r="808">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row>
    <row r="809">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row>
    <row r="810">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row>
    <row r="81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row>
    <row r="81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row>
    <row r="813">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row>
    <row r="814">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row>
    <row r="81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row>
    <row r="816">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row>
    <row r="817">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row>
    <row r="818">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row>
    <row r="819">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row>
    <row r="820">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row>
    <row r="82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row>
    <row r="82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row>
    <row r="823">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row>
    <row r="824">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row>
    <row r="82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row>
    <row r="826">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row>
    <row r="827">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row>
    <row r="828">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row>
    <row r="829">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row>
    <row r="830">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row>
    <row r="83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row>
    <row r="83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row>
    <row r="833">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row>
    <row r="834">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row>
    <row r="83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row>
    <row r="836">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row>
    <row r="837">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row>
    <row r="838">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row>
    <row r="839">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row>
    <row r="840">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row>
    <row r="84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row>
    <row r="84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row>
    <row r="843">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row>
    <row r="844">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row>
    <row r="84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row>
    <row r="846">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row>
    <row r="847">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row>
    <row r="848">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row>
    <row r="849">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c r="AS849" s="26"/>
      <c r="AT849" s="26"/>
      <c r="AU849" s="26"/>
      <c r="AV849" s="26"/>
    </row>
    <row r="850">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row>
    <row r="85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c r="AQ851" s="26"/>
      <c r="AR851" s="26"/>
      <c r="AS851" s="26"/>
      <c r="AT851" s="26"/>
      <c r="AU851" s="26"/>
      <c r="AV851" s="26"/>
    </row>
    <row r="85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row>
    <row r="853">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c r="AQ853" s="26"/>
      <c r="AR853" s="26"/>
      <c r="AS853" s="26"/>
      <c r="AT853" s="26"/>
      <c r="AU853" s="26"/>
      <c r="AV853" s="26"/>
    </row>
    <row r="854">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row>
    <row r="85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c r="AQ855" s="26"/>
      <c r="AR855" s="26"/>
      <c r="AS855" s="26"/>
      <c r="AT855" s="26"/>
      <c r="AU855" s="26"/>
      <c r="AV855" s="26"/>
    </row>
    <row r="856">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row>
    <row r="857">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c r="AQ857" s="26"/>
      <c r="AR857" s="26"/>
      <c r="AS857" s="26"/>
      <c r="AT857" s="26"/>
      <c r="AU857" s="26"/>
      <c r="AV857" s="26"/>
    </row>
    <row r="858">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row>
    <row r="859">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c r="AQ859" s="26"/>
      <c r="AR859" s="26"/>
      <c r="AS859" s="26"/>
      <c r="AT859" s="26"/>
      <c r="AU859" s="26"/>
      <c r="AV859" s="26"/>
    </row>
    <row r="860">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row>
    <row r="86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c r="AQ861" s="26"/>
      <c r="AR861" s="26"/>
      <c r="AS861" s="26"/>
      <c r="AT861" s="26"/>
      <c r="AU861" s="26"/>
      <c r="AV861" s="26"/>
    </row>
    <row r="86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row>
    <row r="863">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c r="AQ863" s="26"/>
      <c r="AR863" s="26"/>
      <c r="AS863" s="26"/>
      <c r="AT863" s="26"/>
      <c r="AU863" s="26"/>
      <c r="AV863" s="26"/>
    </row>
    <row r="864">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row>
    <row r="86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c r="AS865" s="26"/>
      <c r="AT865" s="26"/>
      <c r="AU865" s="26"/>
      <c r="AV865" s="26"/>
    </row>
    <row r="866">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row>
    <row r="867">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c r="AS867" s="26"/>
      <c r="AT867" s="26"/>
      <c r="AU867" s="26"/>
      <c r="AV867" s="26"/>
    </row>
    <row r="868">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row>
    <row r="869">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c r="AS869" s="26"/>
      <c r="AT869" s="26"/>
      <c r="AU869" s="26"/>
      <c r="AV869" s="26"/>
    </row>
    <row r="870">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row>
    <row r="87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c r="AQ871" s="26"/>
      <c r="AR871" s="26"/>
      <c r="AS871" s="26"/>
      <c r="AT871" s="26"/>
      <c r="AU871" s="26"/>
      <c r="AV871" s="26"/>
    </row>
    <row r="87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row>
    <row r="873">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c r="AQ873" s="26"/>
      <c r="AR873" s="26"/>
      <c r="AS873" s="26"/>
      <c r="AT873" s="26"/>
      <c r="AU873" s="26"/>
      <c r="AV873" s="26"/>
    </row>
    <row r="874">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row>
    <row r="87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c r="AQ875" s="26"/>
      <c r="AR875" s="26"/>
      <c r="AS875" s="26"/>
      <c r="AT875" s="26"/>
      <c r="AU875" s="26"/>
      <c r="AV875" s="26"/>
    </row>
    <row r="876">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row>
    <row r="877">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c r="AQ877" s="26"/>
      <c r="AR877" s="26"/>
      <c r="AS877" s="26"/>
      <c r="AT877" s="26"/>
      <c r="AU877" s="26"/>
      <c r="AV877" s="26"/>
    </row>
    <row r="878">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row>
    <row r="879">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c r="AQ879" s="26"/>
      <c r="AR879" s="26"/>
      <c r="AS879" s="26"/>
      <c r="AT879" s="26"/>
      <c r="AU879" s="26"/>
      <c r="AV879" s="26"/>
    </row>
    <row r="880">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row>
    <row r="88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row>
    <row r="88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row>
    <row r="883">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c r="AS883" s="26"/>
      <c r="AT883" s="26"/>
      <c r="AU883" s="26"/>
      <c r="AV883" s="26"/>
    </row>
    <row r="884">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row>
    <row r="88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26"/>
      <c r="AS885" s="26"/>
      <c r="AT885" s="26"/>
      <c r="AU885" s="26"/>
      <c r="AV885" s="26"/>
    </row>
    <row r="886">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row>
    <row r="887">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c r="AQ887" s="26"/>
      <c r="AR887" s="26"/>
      <c r="AS887" s="26"/>
      <c r="AT887" s="26"/>
      <c r="AU887" s="26"/>
      <c r="AV887" s="26"/>
    </row>
    <row r="888">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row>
    <row r="889">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c r="AS889" s="26"/>
      <c r="AT889" s="26"/>
      <c r="AU889" s="26"/>
      <c r="AV889" s="26"/>
    </row>
    <row r="890">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row>
    <row r="89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c r="AS891" s="26"/>
      <c r="AT891" s="26"/>
      <c r="AU891" s="26"/>
      <c r="AV891" s="26"/>
    </row>
    <row r="89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row>
    <row r="893">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c r="AS893" s="26"/>
      <c r="AT893" s="26"/>
      <c r="AU893" s="26"/>
      <c r="AV893" s="26"/>
    </row>
    <row r="894">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row>
    <row r="89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c r="AS895" s="26"/>
      <c r="AT895" s="26"/>
      <c r="AU895" s="26"/>
      <c r="AV895" s="26"/>
    </row>
    <row r="896">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row>
    <row r="897">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row>
    <row r="898">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row>
    <row r="899">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c r="AS899" s="26"/>
      <c r="AT899" s="26"/>
      <c r="AU899" s="26"/>
      <c r="AV899" s="26"/>
    </row>
    <row r="900">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row>
    <row r="90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row>
    <row r="9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row>
    <row r="903">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c r="AS903" s="26"/>
      <c r="AT903" s="26"/>
      <c r="AU903" s="26"/>
      <c r="AV903" s="26"/>
    </row>
    <row r="904">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row>
    <row r="90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c r="AS905" s="26"/>
      <c r="AT905" s="26"/>
      <c r="AU905" s="26"/>
      <c r="AV905" s="26"/>
    </row>
    <row r="906">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row>
    <row r="907">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row>
    <row r="908">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row>
    <row r="909">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c r="AS909" s="26"/>
      <c r="AT909" s="26"/>
      <c r="AU909" s="26"/>
      <c r="AV909" s="26"/>
    </row>
    <row r="910">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row>
    <row r="91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row>
    <row r="91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row>
    <row r="913">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row>
    <row r="914">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row>
    <row r="91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c r="AQ915" s="26"/>
      <c r="AR915" s="26"/>
      <c r="AS915" s="26"/>
      <c r="AT915" s="26"/>
      <c r="AU915" s="26"/>
      <c r="AV915" s="26"/>
    </row>
    <row r="916">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row>
    <row r="917">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c r="AQ917" s="26"/>
      <c r="AR917" s="26"/>
      <c r="AS917" s="26"/>
      <c r="AT917" s="26"/>
      <c r="AU917" s="26"/>
      <c r="AV917" s="26"/>
    </row>
    <row r="918">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row>
    <row r="919">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c r="AQ919" s="26"/>
      <c r="AR919" s="26"/>
      <c r="AS919" s="26"/>
      <c r="AT919" s="26"/>
      <c r="AU919" s="26"/>
      <c r="AV919" s="26"/>
    </row>
    <row r="920">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row>
    <row r="92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c r="AS921" s="26"/>
      <c r="AT921" s="26"/>
      <c r="AU921" s="26"/>
      <c r="AV921" s="26"/>
    </row>
    <row r="92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row>
    <row r="923">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row>
    <row r="924">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row>
    <row r="92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c r="AS925" s="26"/>
      <c r="AT925" s="26"/>
      <c r="AU925" s="26"/>
      <c r="AV925" s="26"/>
    </row>
    <row r="926">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row>
    <row r="927">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6"/>
      <c r="AT927" s="26"/>
      <c r="AU927" s="26"/>
      <c r="AV927" s="26"/>
    </row>
    <row r="928">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row>
    <row r="929">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6"/>
      <c r="AT929" s="26"/>
      <c r="AU929" s="26"/>
      <c r="AV929" s="26"/>
    </row>
    <row r="930">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row>
    <row r="93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6"/>
      <c r="AT931" s="26"/>
      <c r="AU931" s="26"/>
      <c r="AV931" s="26"/>
    </row>
    <row r="93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row>
    <row r="933">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row>
    <row r="934">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row>
    <row r="93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6"/>
      <c r="AT935" s="26"/>
      <c r="AU935" s="26"/>
      <c r="AV935" s="26"/>
    </row>
    <row r="936">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row>
    <row r="937">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6"/>
      <c r="AT937" s="26"/>
      <c r="AU937" s="26"/>
      <c r="AV937" s="26"/>
    </row>
    <row r="938">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row>
    <row r="939">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row>
    <row r="940">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row>
    <row r="94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6"/>
      <c r="AT941" s="26"/>
      <c r="AU941" s="26"/>
      <c r="AV941" s="26"/>
    </row>
    <row r="94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row>
    <row r="943">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6"/>
      <c r="AT943" s="26"/>
      <c r="AU943" s="26"/>
      <c r="AV943" s="26"/>
    </row>
    <row r="944">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row>
    <row r="94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6"/>
      <c r="AT945" s="26"/>
      <c r="AU945" s="26"/>
      <c r="AV945" s="26"/>
    </row>
    <row r="946">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row>
    <row r="947">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6"/>
      <c r="AT947" s="26"/>
      <c r="AU947" s="26"/>
      <c r="AV947" s="26"/>
    </row>
    <row r="948">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row>
    <row r="949">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6"/>
      <c r="AT949" s="26"/>
      <c r="AU949" s="26"/>
      <c r="AV949" s="26"/>
    </row>
    <row r="950">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row>
    <row r="95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6"/>
      <c r="AT951" s="26"/>
      <c r="AU951" s="26"/>
      <c r="AV951" s="26"/>
    </row>
    <row r="95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row>
    <row r="953">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row>
    <row r="954">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row>
    <row r="95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row>
    <row r="956">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row>
    <row r="957">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6"/>
      <c r="AT957" s="26"/>
      <c r="AU957" s="26"/>
      <c r="AV957" s="26"/>
    </row>
    <row r="958">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row>
    <row r="959">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6"/>
      <c r="AT959" s="26"/>
      <c r="AU959" s="26"/>
      <c r="AV959" s="26"/>
    </row>
    <row r="960">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row>
    <row r="96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6"/>
      <c r="AT961" s="26"/>
      <c r="AU961" s="26"/>
      <c r="AV961" s="26"/>
    </row>
    <row r="96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row>
    <row r="963">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row>
    <row r="964">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row>
    <row r="96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row>
    <row r="966">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row>
    <row r="967">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c r="AS967" s="26"/>
      <c r="AT967" s="26"/>
      <c r="AU967" s="26"/>
      <c r="AV967" s="26"/>
    </row>
    <row r="968">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row>
    <row r="969">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c r="AQ969" s="26"/>
      <c r="AR969" s="26"/>
      <c r="AS969" s="26"/>
      <c r="AT969" s="26"/>
      <c r="AU969" s="26"/>
      <c r="AV969" s="26"/>
    </row>
    <row r="970">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row>
    <row r="97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c r="AQ971" s="26"/>
      <c r="AR971" s="26"/>
      <c r="AS971" s="26"/>
      <c r="AT971" s="26"/>
      <c r="AU971" s="26"/>
      <c r="AV971" s="26"/>
    </row>
    <row r="97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row>
    <row r="973">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26"/>
      <c r="AV973" s="26"/>
    </row>
    <row r="974">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row>
    <row r="97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row>
    <row r="976">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row>
    <row r="977">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c r="AS977" s="26"/>
      <c r="AT977" s="26"/>
      <c r="AU977" s="26"/>
      <c r="AV977" s="26"/>
    </row>
    <row r="978">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row>
    <row r="979">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row>
    <row r="980">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row>
    <row r="98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row>
    <row r="98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row>
    <row r="983">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row>
    <row r="984">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row>
    <row r="98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c r="AS985" s="26"/>
      <c r="AT985" s="26"/>
      <c r="AU985" s="26"/>
      <c r="AV985" s="26"/>
    </row>
    <row r="986">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row>
    <row r="987">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c r="AS987" s="26"/>
      <c r="AT987" s="26"/>
      <c r="AU987" s="26"/>
      <c r="AV987" s="26"/>
    </row>
    <row r="988">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row>
    <row r="989">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c r="AS989" s="26"/>
      <c r="AT989" s="26"/>
      <c r="AU989" s="26"/>
      <c r="AV989" s="26"/>
    </row>
    <row r="990">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row>
    <row r="99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c r="AQ991" s="26"/>
      <c r="AR991" s="26"/>
      <c r="AS991" s="26"/>
      <c r="AT991" s="26"/>
      <c r="AU991" s="26"/>
      <c r="AV991" s="26"/>
    </row>
    <row r="99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row>
    <row r="993">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c r="AQ993" s="26"/>
      <c r="AR993" s="26"/>
      <c r="AS993" s="26"/>
      <c r="AT993" s="26"/>
      <c r="AU993" s="26"/>
      <c r="AV993" s="26"/>
    </row>
    <row r="994">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row>
    <row r="99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c r="AQ995" s="26"/>
      <c r="AR995" s="26"/>
      <c r="AS995" s="26"/>
      <c r="AT995" s="26"/>
      <c r="AU995" s="26"/>
      <c r="AV995" s="26"/>
    </row>
    <row r="996">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row>
    <row r="997">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row>
    <row r="998">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row>
    <row r="999">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c r="AQ999" s="26"/>
      <c r="AR999" s="26"/>
      <c r="AS999" s="26"/>
      <c r="AT999" s="26"/>
      <c r="AU999" s="26"/>
      <c r="AV999" s="26"/>
    </row>
    <row r="1000">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c r="AQ1000" s="26"/>
      <c r="AR1000" s="26"/>
      <c r="AS1000" s="26"/>
      <c r="AT1000" s="26"/>
      <c r="AU1000" s="26"/>
      <c r="AV1000" s="26"/>
    </row>
    <row r="1001">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c r="AA1001" s="26"/>
      <c r="AB1001" s="26"/>
      <c r="AC1001" s="26"/>
      <c r="AD1001" s="26"/>
      <c r="AE1001" s="26"/>
      <c r="AF1001" s="26"/>
      <c r="AG1001" s="26"/>
      <c r="AH1001" s="26"/>
      <c r="AI1001" s="26"/>
      <c r="AJ1001" s="26"/>
      <c r="AK1001" s="26"/>
      <c r="AL1001" s="26"/>
      <c r="AM1001" s="26"/>
      <c r="AN1001" s="26"/>
      <c r="AO1001" s="26"/>
      <c r="AP1001" s="26"/>
      <c r="AQ1001" s="26"/>
      <c r="AR1001" s="26"/>
      <c r="AS1001" s="26"/>
      <c r="AT1001" s="26"/>
      <c r="AU1001" s="26"/>
      <c r="AV1001" s="26"/>
    </row>
    <row r="1002">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c r="AE1002" s="26"/>
      <c r="AF1002" s="26"/>
      <c r="AG1002" s="26"/>
      <c r="AH1002" s="26"/>
      <c r="AI1002" s="26"/>
      <c r="AJ1002" s="26"/>
      <c r="AK1002" s="26"/>
      <c r="AL1002" s="26"/>
      <c r="AM1002" s="26"/>
      <c r="AN1002" s="26"/>
      <c r="AO1002" s="26"/>
      <c r="AP1002" s="26"/>
      <c r="AQ1002" s="26"/>
      <c r="AR1002" s="26"/>
      <c r="AS1002" s="26"/>
      <c r="AT1002" s="26"/>
      <c r="AU1002" s="26"/>
      <c r="AV1002" s="26"/>
    </row>
    <row r="1003">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c r="AA1003" s="26"/>
      <c r="AB1003" s="26"/>
      <c r="AC1003" s="26"/>
      <c r="AD1003" s="26"/>
      <c r="AE1003" s="26"/>
      <c r="AF1003" s="26"/>
      <c r="AG1003" s="26"/>
      <c r="AH1003" s="26"/>
      <c r="AI1003" s="26"/>
      <c r="AJ1003" s="26"/>
      <c r="AK1003" s="26"/>
      <c r="AL1003" s="26"/>
      <c r="AM1003" s="26"/>
      <c r="AN1003" s="26"/>
      <c r="AO1003" s="26"/>
      <c r="AP1003" s="26"/>
      <c r="AQ1003" s="26"/>
      <c r="AR1003" s="26"/>
      <c r="AS1003" s="26"/>
      <c r="AT1003" s="26"/>
      <c r="AU1003" s="26"/>
      <c r="AV1003" s="26"/>
    </row>
    <row r="1004">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c r="AA1004" s="26"/>
      <c r="AB1004" s="26"/>
      <c r="AC1004" s="26"/>
      <c r="AD1004" s="26"/>
      <c r="AE1004" s="26"/>
      <c r="AF1004" s="26"/>
      <c r="AG1004" s="26"/>
      <c r="AH1004" s="26"/>
      <c r="AI1004" s="26"/>
      <c r="AJ1004" s="26"/>
      <c r="AK1004" s="26"/>
      <c r="AL1004" s="26"/>
      <c r="AM1004" s="26"/>
      <c r="AN1004" s="26"/>
      <c r="AO1004" s="26"/>
      <c r="AP1004" s="26"/>
      <c r="AQ1004" s="26"/>
      <c r="AR1004" s="26"/>
      <c r="AS1004" s="26"/>
      <c r="AT1004" s="26"/>
      <c r="AU1004" s="26"/>
      <c r="AV1004" s="26"/>
    </row>
    <row r="1005">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c r="AA1005" s="26"/>
      <c r="AB1005" s="26"/>
      <c r="AC1005" s="26"/>
      <c r="AD1005" s="26"/>
      <c r="AE1005" s="26"/>
      <c r="AF1005" s="26"/>
      <c r="AG1005" s="26"/>
      <c r="AH1005" s="26"/>
      <c r="AI1005" s="26"/>
      <c r="AJ1005" s="26"/>
      <c r="AK1005" s="26"/>
      <c r="AL1005" s="26"/>
      <c r="AM1005" s="26"/>
      <c r="AN1005" s="26"/>
      <c r="AO1005" s="26"/>
      <c r="AP1005" s="26"/>
      <c r="AQ1005" s="26"/>
      <c r="AR1005" s="26"/>
      <c r="AS1005" s="26"/>
      <c r="AT1005" s="26"/>
      <c r="AU1005" s="26"/>
      <c r="AV1005" s="26"/>
    </row>
    <row r="1006">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c r="AA1006" s="26"/>
      <c r="AB1006" s="26"/>
      <c r="AC1006" s="26"/>
      <c r="AD1006" s="26"/>
      <c r="AE1006" s="26"/>
      <c r="AF1006" s="26"/>
      <c r="AG1006" s="26"/>
      <c r="AH1006" s="26"/>
      <c r="AI1006" s="26"/>
      <c r="AJ1006" s="26"/>
      <c r="AK1006" s="26"/>
      <c r="AL1006" s="26"/>
      <c r="AM1006" s="26"/>
      <c r="AN1006" s="26"/>
      <c r="AO1006" s="26"/>
      <c r="AP1006" s="26"/>
      <c r="AQ1006" s="26"/>
      <c r="AR1006" s="26"/>
      <c r="AS1006" s="26"/>
      <c r="AT1006" s="26"/>
      <c r="AU1006" s="26"/>
      <c r="AV1006" s="26"/>
    </row>
    <row r="1007">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c r="AA1007" s="26"/>
      <c r="AB1007" s="26"/>
      <c r="AC1007" s="26"/>
      <c r="AD1007" s="26"/>
      <c r="AE1007" s="26"/>
      <c r="AF1007" s="26"/>
      <c r="AG1007" s="26"/>
      <c r="AH1007" s="26"/>
      <c r="AI1007" s="26"/>
      <c r="AJ1007" s="26"/>
      <c r="AK1007" s="26"/>
      <c r="AL1007" s="26"/>
      <c r="AM1007" s="26"/>
      <c r="AN1007" s="26"/>
      <c r="AO1007" s="26"/>
      <c r="AP1007" s="26"/>
      <c r="AQ1007" s="26"/>
      <c r="AR1007" s="26"/>
      <c r="AS1007" s="26"/>
      <c r="AT1007" s="26"/>
      <c r="AU1007" s="26"/>
      <c r="AV1007" s="26"/>
    </row>
    <row r="1008">
      <c r="A1008" s="26"/>
      <c r="B1008" s="26"/>
      <c r="C1008" s="26"/>
      <c r="D1008" s="26"/>
      <c r="E1008" s="26"/>
      <c r="F1008" s="26"/>
      <c r="G1008" s="26"/>
      <c r="H1008" s="26"/>
      <c r="I1008" s="26"/>
      <c r="J1008" s="26"/>
      <c r="K1008" s="26"/>
      <c r="L1008" s="26"/>
      <c r="M1008" s="26"/>
      <c r="N1008" s="26"/>
      <c r="O1008" s="26"/>
      <c r="P1008" s="26"/>
      <c r="Q1008" s="26"/>
      <c r="R1008" s="26"/>
      <c r="S1008" s="26"/>
      <c r="T1008" s="26"/>
      <c r="U1008" s="26"/>
      <c r="V1008" s="26"/>
      <c r="W1008" s="26"/>
      <c r="X1008" s="26"/>
      <c r="Y1008" s="26"/>
      <c r="Z1008" s="26"/>
      <c r="AA1008" s="26"/>
      <c r="AB1008" s="26"/>
      <c r="AC1008" s="26"/>
      <c r="AD1008" s="26"/>
      <c r="AE1008" s="26"/>
      <c r="AF1008" s="26"/>
      <c r="AG1008" s="26"/>
      <c r="AH1008" s="26"/>
      <c r="AI1008" s="26"/>
      <c r="AJ1008" s="26"/>
      <c r="AK1008" s="26"/>
      <c r="AL1008" s="26"/>
      <c r="AM1008" s="26"/>
      <c r="AN1008" s="26"/>
      <c r="AO1008" s="26"/>
      <c r="AP1008" s="26"/>
      <c r="AQ1008" s="26"/>
      <c r="AR1008" s="26"/>
      <c r="AS1008" s="26"/>
      <c r="AT1008" s="26"/>
      <c r="AU1008" s="26"/>
      <c r="AV1008" s="26"/>
    </row>
    <row r="1009">
      <c r="A1009" s="26"/>
      <c r="B1009" s="26"/>
      <c r="C1009" s="26"/>
      <c r="D1009" s="26"/>
      <c r="E1009" s="26"/>
      <c r="F1009" s="26"/>
      <c r="G1009" s="26"/>
      <c r="H1009" s="26"/>
      <c r="I1009" s="26"/>
      <c r="J1009" s="26"/>
      <c r="K1009" s="26"/>
      <c r="L1009" s="26"/>
      <c r="M1009" s="26"/>
      <c r="N1009" s="26"/>
      <c r="O1009" s="26"/>
      <c r="P1009" s="26"/>
      <c r="Q1009" s="26"/>
      <c r="R1009" s="26"/>
      <c r="S1009" s="26"/>
      <c r="T1009" s="26"/>
      <c r="U1009" s="26"/>
      <c r="V1009" s="26"/>
      <c r="W1009" s="26"/>
      <c r="X1009" s="26"/>
      <c r="Y1009" s="26"/>
      <c r="Z1009" s="26"/>
      <c r="AA1009" s="26"/>
      <c r="AB1009" s="26"/>
      <c r="AC1009" s="26"/>
      <c r="AD1009" s="26"/>
      <c r="AE1009" s="26"/>
      <c r="AF1009" s="26"/>
      <c r="AG1009" s="26"/>
      <c r="AH1009" s="26"/>
      <c r="AI1009" s="26"/>
      <c r="AJ1009" s="26"/>
      <c r="AK1009" s="26"/>
      <c r="AL1009" s="26"/>
      <c r="AM1009" s="26"/>
      <c r="AN1009" s="26"/>
      <c r="AO1009" s="26"/>
      <c r="AP1009" s="26"/>
      <c r="AQ1009" s="26"/>
      <c r="AR1009" s="26"/>
      <c r="AS1009" s="26"/>
      <c r="AT1009" s="26"/>
      <c r="AU1009" s="26"/>
      <c r="AV1009" s="26"/>
    </row>
  </sheetData>
  <mergeCells count="24">
    <mergeCell ref="M2:M3"/>
    <mergeCell ref="N2:R2"/>
    <mergeCell ref="A1:AV1"/>
    <mergeCell ref="A2:A3"/>
    <mergeCell ref="B2:B3"/>
    <mergeCell ref="C2:C3"/>
    <mergeCell ref="D2:D3"/>
    <mergeCell ref="E2:E3"/>
    <mergeCell ref="F2:F3"/>
    <mergeCell ref="AT2:AU2"/>
    <mergeCell ref="G2:G3"/>
    <mergeCell ref="H2:H3"/>
    <mergeCell ref="I2:I3"/>
    <mergeCell ref="J2:J3"/>
    <mergeCell ref="K2:K3"/>
    <mergeCell ref="L2:L3"/>
    <mergeCell ref="S2:T2"/>
    <mergeCell ref="U2:W2"/>
    <mergeCell ref="X2:Y2"/>
    <mergeCell ref="AB2:AG2"/>
    <mergeCell ref="AH2:AI2"/>
    <mergeCell ref="AJ2:AK2"/>
    <mergeCell ref="AM2:AO2"/>
    <mergeCell ref="AP2:AR2"/>
  </mergeCells>
  <hyperlinks>
    <hyperlink r:id="rId1" ref="A1"/>
    <hyperlink r:id="rId2" ref="A4"/>
    <hyperlink r:id="rId3" ref="A5"/>
    <hyperlink r:id="rId4" ref="A6"/>
    <hyperlink r:id="rId5" ref="A7"/>
    <hyperlink r:id="rId6" ref="A8"/>
    <hyperlink r:id="rId7" ref="A9"/>
    <hyperlink r:id="rId8" ref="A10"/>
    <hyperlink r:id="rId9" ref="A11"/>
    <hyperlink r:id="rId10" ref="A12"/>
    <hyperlink r:id="rId11" ref="A13"/>
  </hyperlinks>
  <drawing r:id="rId1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50" t="s">
        <v>437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6"/>
    </row>
    <row r="2">
      <c r="A2" s="191"/>
      <c r="B2" s="191"/>
      <c r="C2" s="191"/>
      <c r="D2" s="191"/>
      <c r="E2" s="191"/>
      <c r="F2" s="192"/>
      <c r="G2" s="191"/>
      <c r="H2" s="191"/>
      <c r="I2" s="191"/>
      <c r="J2" s="191"/>
      <c r="K2" s="191"/>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row>
    <row r="3">
      <c r="A3" s="193" t="s">
        <v>438</v>
      </c>
      <c r="B3" s="90"/>
      <c r="C3" s="90"/>
      <c r="D3" s="90"/>
      <c r="E3" s="194"/>
      <c r="F3" s="195"/>
      <c r="G3" s="196" t="s">
        <v>439</v>
      </c>
      <c r="H3" s="90"/>
      <c r="I3" s="90"/>
      <c r="J3" s="90"/>
      <c r="K3" s="194"/>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row>
    <row r="4">
      <c r="A4" s="197" t="s">
        <v>440</v>
      </c>
      <c r="B4" s="198">
        <v>2022.0</v>
      </c>
      <c r="C4" s="198">
        <v>2023.0</v>
      </c>
      <c r="D4" s="198">
        <v>2024.0</v>
      </c>
      <c r="E4" s="199">
        <v>2025.0</v>
      </c>
      <c r="F4" s="195"/>
      <c r="G4" s="200" t="s">
        <v>441</v>
      </c>
      <c r="H4" s="200">
        <v>2022.0</v>
      </c>
      <c r="I4" s="200">
        <v>2023.0</v>
      </c>
      <c r="J4" s="200">
        <v>2024.0</v>
      </c>
      <c r="K4" s="201">
        <v>45658.0</v>
      </c>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row>
    <row r="5">
      <c r="A5" s="202" t="s">
        <v>442</v>
      </c>
      <c r="B5" s="203">
        <v>121.0</v>
      </c>
      <c r="C5" s="203">
        <v>165.0</v>
      </c>
      <c r="D5" s="203">
        <v>285.0</v>
      </c>
      <c r="E5" s="204">
        <v>590.0</v>
      </c>
      <c r="F5" s="195"/>
      <c r="G5" s="203" t="s">
        <v>443</v>
      </c>
      <c r="H5" s="205">
        <v>0.44</v>
      </c>
      <c r="I5" s="205">
        <v>0.5</v>
      </c>
      <c r="J5" s="205">
        <v>0.55</v>
      </c>
      <c r="K5" s="206">
        <v>0.5</v>
      </c>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row>
    <row r="6">
      <c r="A6" s="202" t="s">
        <v>444</v>
      </c>
      <c r="B6" s="203">
        <v>185.0</v>
      </c>
      <c r="C6" s="203">
        <v>239.0</v>
      </c>
      <c r="D6" s="203">
        <v>403.0</v>
      </c>
      <c r="E6" s="195"/>
      <c r="F6" s="195"/>
      <c r="G6" s="207" t="s">
        <v>445</v>
      </c>
      <c r="H6" s="208">
        <v>0.35</v>
      </c>
      <c r="I6" s="208">
        <v>0.28</v>
      </c>
      <c r="J6" s="208">
        <v>0.24</v>
      </c>
      <c r="K6" s="209">
        <v>0.22</v>
      </c>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row>
    <row r="7">
      <c r="A7" s="202" t="s">
        <v>446</v>
      </c>
      <c r="B7" s="203">
        <v>283.0</v>
      </c>
      <c r="C7" s="203">
        <v>449.0</v>
      </c>
      <c r="D7" s="203">
        <v>410.0</v>
      </c>
      <c r="E7" s="195"/>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row>
    <row r="8">
      <c r="A8" s="202" t="s">
        <v>447</v>
      </c>
      <c r="B8" s="203">
        <v>288.0</v>
      </c>
      <c r="C8" s="203">
        <v>348.0</v>
      </c>
      <c r="D8" s="203">
        <v>423.0</v>
      </c>
      <c r="E8" s="195"/>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row>
    <row r="9">
      <c r="A9" s="202" t="s">
        <v>448</v>
      </c>
      <c r="B9" s="203">
        <v>236.0</v>
      </c>
      <c r="C9" s="203">
        <v>419.0</v>
      </c>
      <c r="D9" s="203">
        <v>549.0</v>
      </c>
      <c r="E9" s="195"/>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row>
    <row r="10">
      <c r="A10" s="202" t="s">
        <v>449</v>
      </c>
      <c r="B10" s="203">
        <v>135.0</v>
      </c>
      <c r="C10" s="203">
        <v>425.0</v>
      </c>
      <c r="D10" s="203">
        <v>329.0</v>
      </c>
      <c r="E10" s="195"/>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row>
    <row r="11">
      <c r="A11" s="202" t="s">
        <v>450</v>
      </c>
      <c r="B11" s="203">
        <v>198.0</v>
      </c>
      <c r="C11" s="203">
        <v>495.0</v>
      </c>
      <c r="D11" s="203">
        <v>395.0</v>
      </c>
      <c r="E11" s="195"/>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row>
    <row r="12">
      <c r="A12" s="202" t="s">
        <v>451</v>
      </c>
      <c r="B12" s="203">
        <v>160.0</v>
      </c>
      <c r="C12" s="203">
        <v>335.0</v>
      </c>
      <c r="D12" s="203">
        <v>450.0</v>
      </c>
      <c r="E12" s="195"/>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row>
    <row r="13">
      <c r="A13" s="202" t="s">
        <v>452</v>
      </c>
      <c r="B13" s="203">
        <v>202.0</v>
      </c>
      <c r="C13" s="203">
        <v>497.0</v>
      </c>
      <c r="D13" s="203">
        <v>407.0</v>
      </c>
      <c r="E13" s="195"/>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row>
    <row r="14">
      <c r="A14" s="202" t="s">
        <v>453</v>
      </c>
      <c r="B14" s="203">
        <v>188.0</v>
      </c>
      <c r="C14" s="203">
        <v>335.0</v>
      </c>
      <c r="D14" s="203">
        <v>486.0</v>
      </c>
      <c r="E14" s="195"/>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row>
    <row r="15">
      <c r="A15" s="202" t="s">
        <v>454</v>
      </c>
      <c r="B15" s="203">
        <v>265.0</v>
      </c>
      <c r="C15" s="203">
        <v>439.0</v>
      </c>
      <c r="D15" s="203">
        <v>564.0</v>
      </c>
      <c r="E15" s="195"/>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c r="A16" s="210" t="s">
        <v>455</v>
      </c>
      <c r="B16" s="207">
        <v>269.0</v>
      </c>
      <c r="C16" s="207">
        <v>387.0</v>
      </c>
      <c r="D16" s="207">
        <v>574.0</v>
      </c>
      <c r="E16" s="211"/>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row>
    <row r="17">
      <c r="A17" s="212" t="s">
        <v>336</v>
      </c>
      <c r="B17" s="207">
        <v>211.0</v>
      </c>
      <c r="C17" s="207">
        <v>378.0</v>
      </c>
      <c r="D17" s="207">
        <v>440.0</v>
      </c>
      <c r="E17" s="211"/>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row>
    <row r="18">
      <c r="A18" s="192"/>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row>
    <row r="19">
      <c r="A19" s="192"/>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row>
    <row r="20">
      <c r="A20" s="213" t="s">
        <v>456</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row>
    <row r="21">
      <c r="A21" s="192"/>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row>
    <row r="22">
      <c r="A22" s="192"/>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row>
    <row r="23">
      <c r="A23" s="192"/>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row>
    <row r="24">
      <c r="A24" s="192"/>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row>
    <row r="25">
      <c r="A25" s="192"/>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row>
    <row r="26">
      <c r="A26" s="192"/>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row>
    <row r="27">
      <c r="A27" s="192"/>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row>
    <row r="28">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row>
    <row r="29">
      <c r="A29" s="192"/>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row>
    <row r="30">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row>
    <row r="31">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row>
    <row r="32">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row>
    <row r="33">
      <c r="A33" s="192"/>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row>
    <row r="34">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row>
    <row r="35">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row>
    <row r="36">
      <c r="A36" s="192"/>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row>
    <row r="37">
      <c r="A37" s="192"/>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row>
    <row r="38">
      <c r="A38" s="192"/>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row>
    <row r="39">
      <c r="A39" s="192"/>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row>
    <row r="40">
      <c r="A40" s="192"/>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row>
    <row r="41">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row>
    <row r="42">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row>
    <row r="43">
      <c r="A43" s="192"/>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row>
    <row r="44">
      <c r="A44" s="192"/>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row>
    <row r="45">
      <c r="A45" s="192"/>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row>
    <row r="46">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row>
    <row r="47">
      <c r="A47" s="19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row>
    <row r="48">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row>
    <row r="49">
      <c r="A49" s="192"/>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row>
    <row r="50">
      <c r="A50" s="192"/>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row>
    <row r="51">
      <c r="A51" s="19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row>
    <row r="52">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row>
    <row r="53">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row>
    <row r="54">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row>
    <row r="55">
      <c r="A55" s="192"/>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row>
    <row r="56">
      <c r="A56" s="192"/>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row>
    <row r="57">
      <c r="A57" s="192"/>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row>
    <row r="58">
      <c r="A58" s="192"/>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row>
    <row r="59">
      <c r="A59" s="19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row>
    <row r="60">
      <c r="A60" s="192"/>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row>
    <row r="61">
      <c r="A61" s="192"/>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row>
    <row r="62">
      <c r="A62" s="192"/>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row>
    <row r="63">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row>
    <row r="64">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row>
    <row r="65">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row>
    <row r="66">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row>
    <row r="67">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row>
    <row r="68">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row>
    <row r="69">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row>
    <row r="70">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row>
    <row r="71">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row>
    <row r="72">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row>
    <row r="73">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row>
    <row r="74">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row>
    <row r="75">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row>
    <row r="76">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row>
    <row r="77">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row>
    <row r="78">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row>
    <row r="79">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row>
    <row r="80">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row>
    <row r="81">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row>
    <row r="82">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row>
    <row r="83">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row>
    <row r="84">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row>
    <row r="85">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row>
    <row r="86">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row>
    <row r="87">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row>
    <row r="88">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row>
    <row r="89">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row>
    <row r="90">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row>
    <row r="91">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row>
    <row r="92">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row>
    <row r="93">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row>
    <row r="94">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row>
    <row r="95">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row>
    <row r="96">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row>
    <row r="97">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row>
    <row r="98">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row>
    <row r="99">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row>
    <row r="100">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row>
    <row r="101">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row>
    <row r="102">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row>
    <row r="103">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row>
    <row r="104">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row>
    <row r="105">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row>
    <row r="106">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row>
    <row r="107">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row>
    <row r="108">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row>
    <row r="109">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row>
    <row r="110">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row>
    <row r="111">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row>
    <row r="112">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row>
    <row r="113">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row>
    <row r="114">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row>
    <row r="115">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row>
    <row r="116">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row>
    <row r="117">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row>
    <row r="118">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row>
    <row r="119">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row>
    <row r="120">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row>
    <row r="121">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row>
    <row r="122">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row>
    <row r="123">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row>
    <row r="124">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row>
    <row r="125">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row>
    <row r="126">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row>
    <row r="127">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row>
    <row r="128">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row>
    <row r="129">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row>
    <row r="130">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row>
    <row r="131">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row>
    <row r="132">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row>
    <row r="133">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row>
    <row r="134">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row>
    <row r="135">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row>
    <row r="136">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row>
    <row r="137">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row>
    <row r="138">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row>
    <row r="139">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row>
    <row r="140">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row>
    <row r="141">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row>
    <row r="142">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row>
    <row r="143">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row>
    <row r="144">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row>
    <row r="145">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row>
    <row r="146">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row>
    <row r="147">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row>
    <row r="148">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row>
    <row r="149">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row>
    <row r="150">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row>
    <row r="151">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row>
    <row r="152">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row>
    <row r="153">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row>
    <row r="154">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row>
    <row r="155">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row>
    <row r="156">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row>
    <row r="157">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row>
    <row r="158">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row>
    <row r="159">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row>
    <row r="160">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row>
    <row r="161">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row>
    <row r="162">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row>
    <row r="163">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row>
    <row r="164">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row>
    <row r="165">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row>
    <row r="166">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row>
    <row r="167">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row>
    <row r="168">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row>
    <row r="169">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row>
    <row r="170">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row>
    <row r="171">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row>
    <row r="172">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row>
    <row r="173">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row>
    <row r="174">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row>
    <row r="175">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row>
    <row r="176">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row>
    <row r="177">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row>
    <row r="178">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row>
    <row r="179">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row>
    <row r="180">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row>
    <row r="181">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row>
    <row r="182">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row>
    <row r="183">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row>
    <row r="184">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row>
    <row r="185">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row>
    <row r="186">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row>
    <row r="187">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row>
    <row r="188">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row>
    <row r="189">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row>
    <row r="190">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row>
    <row r="191">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row>
    <row r="192">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row>
    <row r="193">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row>
    <row r="194">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row>
    <row r="195">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row>
    <row r="196">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row>
    <row r="197">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row>
    <row r="198">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row>
    <row r="199">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row>
    <row r="200">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row>
    <row r="201">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row>
    <row r="202">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row>
    <row r="203">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row>
    <row r="204">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row>
    <row r="205">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row>
    <row r="206">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row>
    <row r="207">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row>
    <row r="208">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row>
    <row r="209">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row>
    <row r="210">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row>
    <row r="211">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row>
    <row r="212">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row>
    <row r="213">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row>
    <row r="214">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row>
    <row r="215">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row>
    <row r="216">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row>
    <row r="217">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row>
    <row r="218">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row>
    <row r="219">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row>
    <row r="220">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row>
    <row r="221">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row>
    <row r="222">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row>
    <row r="223">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row>
    <row r="224">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row>
    <row r="225">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row>
    <row r="226">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row>
    <row r="227">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row>
    <row r="228">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row>
    <row r="229">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row>
    <row r="230">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row>
    <row r="231">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row>
    <row r="232">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row>
    <row r="233">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row>
    <row r="234">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row>
    <row r="235">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row>
    <row r="236">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row>
    <row r="237">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row>
    <row r="238">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row>
    <row r="239">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row>
    <row r="240">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row>
    <row r="241">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row>
    <row r="242">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row>
    <row r="243">
      <c r="A243" s="192"/>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row>
    <row r="244">
      <c r="A244" s="192"/>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row>
    <row r="245">
      <c r="A245" s="192"/>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row>
    <row r="246">
      <c r="A246" s="19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row>
    <row r="247">
      <c r="A247" s="192"/>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row>
    <row r="248">
      <c r="A248" s="192"/>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row>
    <row r="249">
      <c r="A249" s="192"/>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row>
    <row r="250">
      <c r="A250" s="192"/>
      <c r="B250" s="192"/>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row>
    <row r="251">
      <c r="A251" s="192"/>
      <c r="B251" s="192"/>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row>
    <row r="252">
      <c r="A252" s="192"/>
      <c r="B252" s="192"/>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row>
    <row r="253">
      <c r="A253" s="192"/>
      <c r="B253" s="192"/>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row>
    <row r="254">
      <c r="A254" s="192"/>
      <c r="B254" s="192"/>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row>
    <row r="255">
      <c r="A255" s="192"/>
      <c r="B255" s="192"/>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row>
    <row r="256">
      <c r="A256" s="192"/>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row>
    <row r="257">
      <c r="A257" s="192"/>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row>
    <row r="258">
      <c r="A258" s="192"/>
      <c r="B258" s="192"/>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row>
    <row r="259">
      <c r="A259" s="192"/>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row>
    <row r="260">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row>
    <row r="261">
      <c r="A261" s="192"/>
      <c r="B261" s="192"/>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row>
    <row r="262">
      <c r="A262" s="192"/>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row>
    <row r="263">
      <c r="A263" s="192"/>
      <c r="B263" s="192"/>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row>
    <row r="264">
      <c r="A264" s="192"/>
      <c r="B264" s="192"/>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row>
    <row r="265">
      <c r="A265" s="192"/>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row>
    <row r="26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row>
    <row r="267">
      <c r="A267" s="192"/>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row>
    <row r="268">
      <c r="A268" s="192"/>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row>
    <row r="269">
      <c r="A269" s="192"/>
      <c r="B269" s="192"/>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row>
    <row r="270">
      <c r="A270" s="192"/>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row>
    <row r="271">
      <c r="A271" s="192"/>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row>
    <row r="272">
      <c r="A272" s="192"/>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row>
    <row r="273">
      <c r="A273" s="192"/>
      <c r="B273" s="192"/>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row>
    <row r="274">
      <c r="A274" s="192"/>
      <c r="B274" s="192"/>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row>
    <row r="275">
      <c r="A275" s="192"/>
      <c r="B275" s="192"/>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row>
    <row r="276">
      <c r="A276" s="192"/>
      <c r="B276" s="192"/>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row>
    <row r="277">
      <c r="A277" s="192"/>
      <c r="B277" s="192"/>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row>
    <row r="278">
      <c r="A278" s="192"/>
      <c r="B278" s="192"/>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row>
    <row r="279">
      <c r="A279" s="192"/>
      <c r="B279" s="192"/>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row>
    <row r="280">
      <c r="A280" s="192"/>
      <c r="B280" s="192"/>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row>
    <row r="281">
      <c r="A281" s="192"/>
      <c r="B281" s="192"/>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row>
    <row r="282">
      <c r="A282" s="192"/>
      <c r="B282" s="192"/>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row>
    <row r="283">
      <c r="A283" s="192"/>
      <c r="B283" s="192"/>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row>
    <row r="284">
      <c r="A284" s="192"/>
      <c r="B284" s="192"/>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row>
    <row r="285">
      <c r="A285" s="192"/>
      <c r="B285" s="192"/>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row>
    <row r="286">
      <c r="A286" s="192"/>
      <c r="B286" s="192"/>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row>
    <row r="287">
      <c r="A287" s="192"/>
      <c r="B287" s="192"/>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row>
    <row r="288">
      <c r="A288" s="192"/>
      <c r="B288" s="192"/>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row>
    <row r="289">
      <c r="A289" s="192"/>
      <c r="B289" s="192"/>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row>
    <row r="290">
      <c r="A290" s="192"/>
      <c r="B290" s="192"/>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row>
    <row r="291">
      <c r="A291" s="192"/>
      <c r="B291" s="192"/>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row>
    <row r="292">
      <c r="A292" s="192"/>
      <c r="B292" s="192"/>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row>
    <row r="293">
      <c r="A293" s="192"/>
      <c r="B293" s="192"/>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row>
    <row r="294">
      <c r="A294" s="192"/>
      <c r="B294" s="192"/>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row>
    <row r="295">
      <c r="A295" s="192"/>
      <c r="B295" s="192"/>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row>
    <row r="296">
      <c r="A296" s="192"/>
      <c r="B296" s="192"/>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row>
    <row r="297">
      <c r="A297" s="192"/>
      <c r="B297" s="192"/>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row>
    <row r="298">
      <c r="A298" s="192"/>
      <c r="B298" s="192"/>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row>
    <row r="299">
      <c r="A299" s="192"/>
      <c r="B299" s="192"/>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row>
    <row r="300">
      <c r="A300" s="192"/>
      <c r="B300" s="192"/>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row>
    <row r="301">
      <c r="A301" s="192"/>
      <c r="B301" s="192"/>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row>
    <row r="302">
      <c r="A302" s="192"/>
      <c r="B302" s="192"/>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row>
    <row r="303">
      <c r="A303" s="192"/>
      <c r="B303" s="192"/>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row>
    <row r="304">
      <c r="A304" s="192"/>
      <c r="B304" s="192"/>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row>
    <row r="305">
      <c r="A305" s="192"/>
      <c r="B305" s="192"/>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row>
    <row r="306">
      <c r="A306" s="192"/>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row>
    <row r="307">
      <c r="A307" s="192"/>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row>
    <row r="308">
      <c r="A308" s="192"/>
      <c r="B308" s="192"/>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row>
    <row r="309">
      <c r="A309" s="192"/>
      <c r="B309" s="192"/>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row>
    <row r="310">
      <c r="A310" s="192"/>
      <c r="B310" s="192"/>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row>
    <row r="311">
      <c r="A311" s="192"/>
      <c r="B311" s="192"/>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row>
    <row r="312">
      <c r="A312" s="192"/>
      <c r="B312" s="192"/>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row>
    <row r="313">
      <c r="A313" s="192"/>
      <c r="B313" s="192"/>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row>
    <row r="314">
      <c r="A314" s="192"/>
      <c r="B314" s="192"/>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row>
    <row r="315">
      <c r="A315" s="192"/>
      <c r="B315" s="192"/>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row>
    <row r="316">
      <c r="A316" s="192"/>
      <c r="B316" s="192"/>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row>
    <row r="317">
      <c r="A317" s="192"/>
      <c r="B317" s="192"/>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row>
    <row r="318">
      <c r="A318" s="192"/>
      <c r="B318" s="192"/>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row>
    <row r="319">
      <c r="A319" s="192"/>
      <c r="B319" s="192"/>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row>
    <row r="320">
      <c r="A320" s="192"/>
      <c r="B320" s="192"/>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row>
    <row r="321">
      <c r="A321" s="192"/>
      <c r="B321" s="192"/>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row>
    <row r="322">
      <c r="A322" s="192"/>
      <c r="B322" s="192"/>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row>
    <row r="323">
      <c r="A323" s="192"/>
      <c r="B323" s="192"/>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row>
    <row r="324">
      <c r="A324" s="192"/>
      <c r="B324" s="192"/>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row>
    <row r="325">
      <c r="A325" s="192"/>
      <c r="B325" s="192"/>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row>
    <row r="326">
      <c r="A326" s="192"/>
      <c r="B326" s="192"/>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row>
    <row r="327">
      <c r="A327" s="192"/>
      <c r="B327" s="192"/>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row>
    <row r="328">
      <c r="A328" s="192"/>
      <c r="B328" s="192"/>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row>
    <row r="329">
      <c r="A329" s="192"/>
      <c r="B329" s="192"/>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row>
    <row r="330">
      <c r="A330" s="192"/>
      <c r="B330" s="192"/>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row>
    <row r="331">
      <c r="A331" s="192"/>
      <c r="B331" s="192"/>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row>
    <row r="332">
      <c r="A332" s="192"/>
      <c r="B332" s="192"/>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row>
    <row r="333">
      <c r="A333" s="192"/>
      <c r="B333" s="192"/>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row>
    <row r="334">
      <c r="A334" s="192"/>
      <c r="B334" s="192"/>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row>
    <row r="335">
      <c r="A335" s="192"/>
      <c r="B335" s="192"/>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row>
    <row r="336">
      <c r="A336" s="192"/>
      <c r="B336" s="192"/>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row>
    <row r="337">
      <c r="A337" s="192"/>
      <c r="B337" s="192"/>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row>
    <row r="338">
      <c r="A338" s="192"/>
      <c r="B338" s="192"/>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row>
    <row r="339">
      <c r="A339" s="192"/>
      <c r="B339" s="192"/>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row>
    <row r="340">
      <c r="A340" s="192"/>
      <c r="B340" s="192"/>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row>
    <row r="341">
      <c r="A341" s="192"/>
      <c r="B341" s="192"/>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row>
    <row r="342">
      <c r="A342" s="192"/>
      <c r="B342" s="192"/>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row>
    <row r="343">
      <c r="A343" s="192"/>
      <c r="B343" s="192"/>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row>
    <row r="344">
      <c r="A344" s="192"/>
      <c r="B344" s="192"/>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row>
    <row r="345">
      <c r="A345" s="192"/>
      <c r="B345" s="192"/>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row>
    <row r="346">
      <c r="A346" s="192"/>
      <c r="B346" s="192"/>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row>
    <row r="347">
      <c r="A347" s="192"/>
      <c r="B347" s="192"/>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row>
    <row r="348">
      <c r="A348" s="192"/>
      <c r="B348" s="192"/>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row>
    <row r="349">
      <c r="A349" s="192"/>
      <c r="B349" s="192"/>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row>
    <row r="350">
      <c r="A350" s="192"/>
      <c r="B350" s="192"/>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row>
    <row r="351">
      <c r="A351" s="192"/>
      <c r="B351" s="192"/>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row>
    <row r="352">
      <c r="A352" s="192"/>
      <c r="B352" s="192"/>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row>
    <row r="353">
      <c r="A353" s="192"/>
      <c r="B353" s="192"/>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row>
    <row r="354">
      <c r="A354" s="192"/>
      <c r="B354" s="192"/>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row>
    <row r="355">
      <c r="A355" s="192"/>
      <c r="B355" s="192"/>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row>
    <row r="356">
      <c r="A356" s="192"/>
      <c r="B356" s="192"/>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row>
    <row r="357">
      <c r="A357" s="192"/>
      <c r="B357" s="192"/>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row>
    <row r="358">
      <c r="A358" s="192"/>
      <c r="B358" s="192"/>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row>
    <row r="359">
      <c r="A359" s="192"/>
      <c r="B359" s="192"/>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row>
    <row r="360">
      <c r="A360" s="192"/>
      <c r="B360" s="192"/>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row>
    <row r="361">
      <c r="A361" s="192"/>
      <c r="B361" s="192"/>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row>
    <row r="362">
      <c r="A362" s="192"/>
      <c r="B362" s="192"/>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row>
    <row r="363">
      <c r="A363" s="192"/>
      <c r="B363" s="192"/>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row>
    <row r="364">
      <c r="A364" s="192"/>
      <c r="B364" s="192"/>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row>
    <row r="365">
      <c r="A365" s="192"/>
      <c r="B365" s="192"/>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row>
    <row r="366">
      <c r="A366" s="192"/>
      <c r="B366" s="192"/>
      <c r="C366" s="192"/>
      <c r="D366" s="192"/>
      <c r="E366" s="192"/>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row>
    <row r="367">
      <c r="A367" s="192"/>
      <c r="B367" s="192"/>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row>
    <row r="368">
      <c r="A368" s="192"/>
      <c r="B368" s="192"/>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row>
    <row r="369">
      <c r="A369" s="192"/>
      <c r="B369" s="192"/>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row>
    <row r="370">
      <c r="A370" s="192"/>
      <c r="B370" s="192"/>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row>
    <row r="371">
      <c r="A371" s="192"/>
      <c r="B371" s="192"/>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row>
    <row r="372">
      <c r="A372" s="192"/>
      <c r="B372" s="192"/>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row>
    <row r="373">
      <c r="A373" s="192"/>
      <c r="B373" s="192"/>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row>
    <row r="374">
      <c r="A374" s="192"/>
      <c r="B374" s="192"/>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row>
    <row r="375">
      <c r="A375" s="192"/>
      <c r="B375" s="192"/>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row>
    <row r="376">
      <c r="A376" s="192"/>
      <c r="B376" s="192"/>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row>
    <row r="377">
      <c r="A377" s="192"/>
      <c r="B377" s="192"/>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row>
    <row r="378">
      <c r="A378" s="192"/>
      <c r="B378" s="192"/>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row>
    <row r="379">
      <c r="A379" s="192"/>
      <c r="B379" s="192"/>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row>
    <row r="380">
      <c r="A380" s="192"/>
      <c r="B380" s="192"/>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row>
    <row r="381">
      <c r="A381" s="192"/>
      <c r="B381" s="192"/>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row>
    <row r="382">
      <c r="A382" s="192"/>
      <c r="B382" s="192"/>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row>
    <row r="383">
      <c r="A383" s="192"/>
      <c r="B383" s="192"/>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row>
    <row r="384">
      <c r="A384" s="192"/>
      <c r="B384" s="192"/>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row>
    <row r="385">
      <c r="A385" s="192"/>
      <c r="B385" s="192"/>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row>
    <row r="386">
      <c r="A386" s="192"/>
      <c r="B386" s="192"/>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row>
    <row r="387">
      <c r="A387" s="192"/>
      <c r="B387" s="192"/>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row>
    <row r="388">
      <c r="A388" s="192"/>
      <c r="B388" s="192"/>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row>
    <row r="389">
      <c r="A389" s="192"/>
      <c r="B389" s="192"/>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row>
    <row r="390">
      <c r="A390" s="192"/>
      <c r="B390" s="192"/>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row>
    <row r="391">
      <c r="A391" s="192"/>
      <c r="B391" s="192"/>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row>
    <row r="392">
      <c r="A392" s="192"/>
      <c r="B392" s="192"/>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row>
    <row r="393">
      <c r="A393" s="192"/>
      <c r="B393" s="192"/>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row>
    <row r="394">
      <c r="A394" s="192"/>
      <c r="B394" s="192"/>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row>
    <row r="395">
      <c r="A395" s="192"/>
      <c r="B395" s="192"/>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row>
    <row r="396">
      <c r="A396" s="192"/>
      <c r="B396" s="192"/>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row>
    <row r="397">
      <c r="A397" s="192"/>
      <c r="B397" s="192"/>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row>
    <row r="398">
      <c r="A398" s="192"/>
      <c r="B398" s="192"/>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row>
    <row r="399">
      <c r="A399" s="192"/>
      <c r="B399" s="192"/>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row>
    <row r="400">
      <c r="A400" s="192"/>
      <c r="B400" s="192"/>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row>
    <row r="401">
      <c r="A401" s="192"/>
      <c r="B401" s="192"/>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row>
    <row r="402">
      <c r="A402" s="192"/>
      <c r="B402" s="192"/>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row>
    <row r="403">
      <c r="A403" s="192"/>
      <c r="B403" s="192"/>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row>
    <row r="404">
      <c r="A404" s="192"/>
      <c r="B404" s="192"/>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row>
    <row r="405">
      <c r="A405" s="192"/>
      <c r="B405" s="192"/>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row>
    <row r="406">
      <c r="A406" s="192"/>
      <c r="B406" s="192"/>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row>
    <row r="407">
      <c r="A407" s="192"/>
      <c r="B407" s="192"/>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row>
    <row r="408">
      <c r="A408" s="192"/>
      <c r="B408" s="192"/>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row>
    <row r="409">
      <c r="A409" s="192"/>
      <c r="B409" s="192"/>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row>
    <row r="410">
      <c r="A410" s="192"/>
      <c r="B410" s="192"/>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row>
    <row r="411">
      <c r="A411" s="192"/>
      <c r="B411" s="192"/>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row>
    <row r="412">
      <c r="A412" s="192"/>
      <c r="B412" s="192"/>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row>
    <row r="413">
      <c r="A413" s="192"/>
      <c r="B413" s="192"/>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row>
    <row r="414">
      <c r="A414" s="192"/>
      <c r="B414" s="192"/>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row>
    <row r="415">
      <c r="A415" s="192"/>
      <c r="B415" s="192"/>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row>
    <row r="416">
      <c r="A416" s="192"/>
      <c r="B416" s="192"/>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row>
    <row r="417">
      <c r="A417" s="192"/>
      <c r="B417" s="192"/>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row>
    <row r="418">
      <c r="A418" s="192"/>
      <c r="B418" s="192"/>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row>
    <row r="419">
      <c r="A419" s="192"/>
      <c r="B419" s="192"/>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row>
    <row r="420">
      <c r="A420" s="192"/>
      <c r="B420" s="192"/>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row>
    <row r="421">
      <c r="A421" s="192"/>
      <c r="B421" s="192"/>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row>
    <row r="422">
      <c r="A422" s="192"/>
      <c r="B422" s="192"/>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row>
    <row r="423">
      <c r="A423" s="192"/>
      <c r="B423" s="192"/>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row>
    <row r="424">
      <c r="A424" s="192"/>
      <c r="B424" s="192"/>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row>
    <row r="425">
      <c r="A425" s="192"/>
      <c r="B425" s="192"/>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row>
    <row r="426">
      <c r="A426" s="192"/>
      <c r="B426" s="192"/>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row>
    <row r="427">
      <c r="A427" s="192"/>
      <c r="B427" s="192"/>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row>
    <row r="428">
      <c r="A428" s="192"/>
      <c r="B428" s="192"/>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row>
    <row r="429">
      <c r="A429" s="192"/>
      <c r="B429" s="192"/>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row>
    <row r="430">
      <c r="A430" s="192"/>
      <c r="B430" s="192"/>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row>
    <row r="431">
      <c r="A431" s="192"/>
      <c r="B431" s="192"/>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row>
    <row r="432">
      <c r="A432" s="192"/>
      <c r="B432" s="192"/>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row>
    <row r="433">
      <c r="A433" s="192"/>
      <c r="B433" s="192"/>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row>
    <row r="434">
      <c r="A434" s="192"/>
      <c r="B434" s="192"/>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row>
    <row r="435">
      <c r="A435" s="192"/>
      <c r="B435" s="192"/>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row>
    <row r="436">
      <c r="A436" s="192"/>
      <c r="B436" s="192"/>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row>
    <row r="437">
      <c r="A437" s="192"/>
      <c r="B437" s="192"/>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row>
    <row r="438">
      <c r="A438" s="192"/>
      <c r="B438" s="192"/>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row>
    <row r="439">
      <c r="A439" s="192"/>
      <c r="B439" s="192"/>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row>
    <row r="440">
      <c r="A440" s="192"/>
      <c r="B440" s="192"/>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row>
    <row r="441">
      <c r="A441" s="192"/>
      <c r="B441" s="192"/>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row>
    <row r="442">
      <c r="A442" s="192"/>
      <c r="B442" s="192"/>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row>
    <row r="443">
      <c r="A443" s="192"/>
      <c r="B443" s="192"/>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row>
    <row r="444">
      <c r="A444" s="192"/>
      <c r="B444" s="192"/>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row>
    <row r="445">
      <c r="A445" s="192"/>
      <c r="B445" s="192"/>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row>
    <row r="446">
      <c r="A446" s="192"/>
      <c r="B446" s="192"/>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row>
    <row r="447">
      <c r="A447" s="192"/>
      <c r="B447" s="192"/>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row>
    <row r="448">
      <c r="A448" s="192"/>
      <c r="B448" s="192"/>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row>
    <row r="449">
      <c r="A449" s="192"/>
      <c r="B449" s="192"/>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row>
    <row r="450">
      <c r="A450" s="192"/>
      <c r="B450" s="192"/>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row>
    <row r="451">
      <c r="A451" s="192"/>
      <c r="B451" s="192"/>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row>
    <row r="452">
      <c r="A452" s="192"/>
      <c r="B452" s="192"/>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row>
    <row r="453">
      <c r="A453" s="192"/>
      <c r="B453" s="192"/>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row>
    <row r="454">
      <c r="A454" s="192"/>
      <c r="B454" s="192"/>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row>
    <row r="455">
      <c r="A455" s="192"/>
      <c r="B455" s="192"/>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row>
    <row r="456">
      <c r="A456" s="192"/>
      <c r="B456" s="192"/>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row>
    <row r="457">
      <c r="A457" s="192"/>
      <c r="B457" s="192"/>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row>
    <row r="458">
      <c r="A458" s="192"/>
      <c r="B458" s="192"/>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row>
    <row r="459">
      <c r="A459" s="192"/>
      <c r="B459" s="192"/>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row>
    <row r="460">
      <c r="A460" s="192"/>
      <c r="B460" s="192"/>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row>
    <row r="461">
      <c r="A461" s="192"/>
      <c r="B461" s="192"/>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row>
    <row r="462">
      <c r="A462" s="192"/>
      <c r="B462" s="192"/>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row>
    <row r="463">
      <c r="A463" s="192"/>
      <c r="B463" s="192"/>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row>
    <row r="464">
      <c r="A464" s="192"/>
      <c r="B464" s="192"/>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row>
    <row r="465">
      <c r="A465" s="192"/>
      <c r="B465" s="192"/>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row>
    <row r="466">
      <c r="A466" s="192"/>
      <c r="B466" s="192"/>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row>
    <row r="467">
      <c r="A467" s="192"/>
      <c r="B467" s="192"/>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row>
    <row r="468">
      <c r="A468" s="192"/>
      <c r="B468" s="192"/>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2"/>
      <c r="AL468" s="192"/>
      <c r="AM468" s="192"/>
      <c r="AN468" s="192"/>
      <c r="AO468" s="192"/>
      <c r="AP468" s="192"/>
      <c r="AQ468" s="192"/>
      <c r="AR468" s="192"/>
      <c r="AS468" s="192"/>
      <c r="AT468" s="192"/>
      <c r="AU468" s="192"/>
      <c r="AV468" s="192"/>
    </row>
    <row r="469">
      <c r="A469" s="192"/>
      <c r="B469" s="192"/>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2"/>
      <c r="AL469" s="192"/>
      <c r="AM469" s="192"/>
      <c r="AN469" s="192"/>
      <c r="AO469" s="192"/>
      <c r="AP469" s="192"/>
      <c r="AQ469" s="192"/>
      <c r="AR469" s="192"/>
      <c r="AS469" s="192"/>
      <c r="AT469" s="192"/>
      <c r="AU469" s="192"/>
      <c r="AV469" s="192"/>
    </row>
    <row r="470">
      <c r="A470" s="192"/>
      <c r="B470" s="192"/>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c r="AA470" s="192"/>
      <c r="AB470" s="192"/>
      <c r="AC470" s="192"/>
      <c r="AD470" s="192"/>
      <c r="AE470" s="192"/>
      <c r="AF470" s="192"/>
      <c r="AG470" s="192"/>
      <c r="AH470" s="192"/>
      <c r="AI470" s="192"/>
      <c r="AJ470" s="192"/>
      <c r="AK470" s="192"/>
      <c r="AL470" s="192"/>
      <c r="AM470" s="192"/>
      <c r="AN470" s="192"/>
      <c r="AO470" s="192"/>
      <c r="AP470" s="192"/>
      <c r="AQ470" s="192"/>
      <c r="AR470" s="192"/>
      <c r="AS470" s="192"/>
      <c r="AT470" s="192"/>
      <c r="AU470" s="192"/>
      <c r="AV470" s="192"/>
    </row>
    <row r="471">
      <c r="A471" s="192"/>
      <c r="B471" s="192"/>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c r="AA471" s="192"/>
      <c r="AB471" s="192"/>
      <c r="AC471" s="192"/>
      <c r="AD471" s="192"/>
      <c r="AE471" s="192"/>
      <c r="AF471" s="192"/>
      <c r="AG471" s="192"/>
      <c r="AH471" s="192"/>
      <c r="AI471" s="192"/>
      <c r="AJ471" s="192"/>
      <c r="AK471" s="192"/>
      <c r="AL471" s="192"/>
      <c r="AM471" s="192"/>
      <c r="AN471" s="192"/>
      <c r="AO471" s="192"/>
      <c r="AP471" s="192"/>
      <c r="AQ471" s="192"/>
      <c r="AR471" s="192"/>
      <c r="AS471" s="192"/>
      <c r="AT471" s="192"/>
      <c r="AU471" s="192"/>
      <c r="AV471" s="192"/>
    </row>
    <row r="472">
      <c r="A472" s="192"/>
      <c r="B472" s="192"/>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c r="AA472" s="192"/>
      <c r="AB472" s="192"/>
      <c r="AC472" s="192"/>
      <c r="AD472" s="192"/>
      <c r="AE472" s="192"/>
      <c r="AF472" s="192"/>
      <c r="AG472" s="192"/>
      <c r="AH472" s="192"/>
      <c r="AI472" s="192"/>
      <c r="AJ472" s="192"/>
      <c r="AK472" s="192"/>
      <c r="AL472" s="192"/>
      <c r="AM472" s="192"/>
      <c r="AN472" s="192"/>
      <c r="AO472" s="192"/>
      <c r="AP472" s="192"/>
      <c r="AQ472" s="192"/>
      <c r="AR472" s="192"/>
      <c r="AS472" s="192"/>
      <c r="AT472" s="192"/>
      <c r="AU472" s="192"/>
      <c r="AV472" s="192"/>
    </row>
    <row r="473">
      <c r="A473" s="192"/>
      <c r="B473" s="192"/>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2"/>
      <c r="AL473" s="192"/>
      <c r="AM473" s="192"/>
      <c r="AN473" s="192"/>
      <c r="AO473" s="192"/>
      <c r="AP473" s="192"/>
      <c r="AQ473" s="192"/>
      <c r="AR473" s="192"/>
      <c r="AS473" s="192"/>
      <c r="AT473" s="192"/>
      <c r="AU473" s="192"/>
      <c r="AV473" s="192"/>
    </row>
    <row r="474">
      <c r="A474" s="192"/>
      <c r="B474" s="192"/>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c r="AA474" s="192"/>
      <c r="AB474" s="192"/>
      <c r="AC474" s="192"/>
      <c r="AD474" s="192"/>
      <c r="AE474" s="192"/>
      <c r="AF474" s="192"/>
      <c r="AG474" s="192"/>
      <c r="AH474" s="192"/>
      <c r="AI474" s="192"/>
      <c r="AJ474" s="192"/>
      <c r="AK474" s="192"/>
      <c r="AL474" s="192"/>
      <c r="AM474" s="192"/>
      <c r="AN474" s="192"/>
      <c r="AO474" s="192"/>
      <c r="AP474" s="192"/>
      <c r="AQ474" s="192"/>
      <c r="AR474" s="192"/>
      <c r="AS474" s="192"/>
      <c r="AT474" s="192"/>
      <c r="AU474" s="192"/>
      <c r="AV474" s="192"/>
    </row>
    <row r="475">
      <c r="A475" s="192"/>
      <c r="B475" s="192"/>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c r="AA475" s="192"/>
      <c r="AB475" s="192"/>
      <c r="AC475" s="192"/>
      <c r="AD475" s="192"/>
      <c r="AE475" s="192"/>
      <c r="AF475" s="192"/>
      <c r="AG475" s="192"/>
      <c r="AH475" s="192"/>
      <c r="AI475" s="192"/>
      <c r="AJ475" s="192"/>
      <c r="AK475" s="192"/>
      <c r="AL475" s="192"/>
      <c r="AM475" s="192"/>
      <c r="AN475" s="192"/>
      <c r="AO475" s="192"/>
      <c r="AP475" s="192"/>
      <c r="AQ475" s="192"/>
      <c r="AR475" s="192"/>
      <c r="AS475" s="192"/>
      <c r="AT475" s="192"/>
      <c r="AU475" s="192"/>
      <c r="AV475" s="192"/>
    </row>
    <row r="476">
      <c r="A476" s="192"/>
      <c r="B476" s="192"/>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c r="AA476" s="192"/>
      <c r="AB476" s="192"/>
      <c r="AC476" s="192"/>
      <c r="AD476" s="192"/>
      <c r="AE476" s="192"/>
      <c r="AF476" s="192"/>
      <c r="AG476" s="192"/>
      <c r="AH476" s="192"/>
      <c r="AI476" s="192"/>
      <c r="AJ476" s="192"/>
      <c r="AK476" s="192"/>
      <c r="AL476" s="192"/>
      <c r="AM476" s="192"/>
      <c r="AN476" s="192"/>
      <c r="AO476" s="192"/>
      <c r="AP476" s="192"/>
      <c r="AQ476" s="192"/>
      <c r="AR476" s="192"/>
      <c r="AS476" s="192"/>
      <c r="AT476" s="192"/>
      <c r="AU476" s="192"/>
      <c r="AV476" s="192"/>
    </row>
    <row r="477">
      <c r="A477" s="192"/>
      <c r="B477" s="192"/>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c r="AA477" s="192"/>
      <c r="AB477" s="192"/>
      <c r="AC477" s="192"/>
      <c r="AD477" s="192"/>
      <c r="AE477" s="192"/>
      <c r="AF477" s="192"/>
      <c r="AG477" s="192"/>
      <c r="AH477" s="192"/>
      <c r="AI477" s="192"/>
      <c r="AJ477" s="192"/>
      <c r="AK477" s="192"/>
      <c r="AL477" s="192"/>
      <c r="AM477" s="192"/>
      <c r="AN477" s="192"/>
      <c r="AO477" s="192"/>
      <c r="AP477" s="192"/>
      <c r="AQ477" s="192"/>
      <c r="AR477" s="192"/>
      <c r="AS477" s="192"/>
      <c r="AT477" s="192"/>
      <c r="AU477" s="192"/>
      <c r="AV477" s="192"/>
    </row>
    <row r="478">
      <c r="A478" s="192"/>
      <c r="B478" s="192"/>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c r="AA478" s="192"/>
      <c r="AB478" s="192"/>
      <c r="AC478" s="192"/>
      <c r="AD478" s="192"/>
      <c r="AE478" s="192"/>
      <c r="AF478" s="192"/>
      <c r="AG478" s="192"/>
      <c r="AH478" s="192"/>
      <c r="AI478" s="192"/>
      <c r="AJ478" s="192"/>
      <c r="AK478" s="192"/>
      <c r="AL478" s="192"/>
      <c r="AM478" s="192"/>
      <c r="AN478" s="192"/>
      <c r="AO478" s="192"/>
      <c r="AP478" s="192"/>
      <c r="AQ478" s="192"/>
      <c r="AR478" s="192"/>
      <c r="AS478" s="192"/>
      <c r="AT478" s="192"/>
      <c r="AU478" s="192"/>
      <c r="AV478" s="192"/>
    </row>
    <row r="479">
      <c r="A479" s="192"/>
      <c r="B479" s="192"/>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2"/>
      <c r="AL479" s="192"/>
      <c r="AM479" s="192"/>
      <c r="AN479" s="192"/>
      <c r="AO479" s="192"/>
      <c r="AP479" s="192"/>
      <c r="AQ479" s="192"/>
      <c r="AR479" s="192"/>
      <c r="AS479" s="192"/>
      <c r="AT479" s="192"/>
      <c r="AU479" s="192"/>
      <c r="AV479" s="192"/>
    </row>
    <row r="480">
      <c r="A480" s="192"/>
      <c r="B480" s="192"/>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c r="AA480" s="192"/>
      <c r="AB480" s="192"/>
      <c r="AC480" s="192"/>
      <c r="AD480" s="192"/>
      <c r="AE480" s="192"/>
      <c r="AF480" s="192"/>
      <c r="AG480" s="192"/>
      <c r="AH480" s="192"/>
      <c r="AI480" s="192"/>
      <c r="AJ480" s="192"/>
      <c r="AK480" s="192"/>
      <c r="AL480" s="192"/>
      <c r="AM480" s="192"/>
      <c r="AN480" s="192"/>
      <c r="AO480" s="192"/>
      <c r="AP480" s="192"/>
      <c r="AQ480" s="192"/>
      <c r="AR480" s="192"/>
      <c r="AS480" s="192"/>
      <c r="AT480" s="192"/>
      <c r="AU480" s="192"/>
      <c r="AV480" s="192"/>
    </row>
    <row r="481">
      <c r="A481" s="192"/>
      <c r="B481" s="192"/>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row>
    <row r="482">
      <c r="A482" s="192"/>
      <c r="B482" s="192"/>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row>
    <row r="483">
      <c r="A483" s="192"/>
      <c r="B483" s="192"/>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row>
    <row r="484">
      <c r="A484" s="192"/>
      <c r="B484" s="192"/>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c r="AK484" s="192"/>
      <c r="AL484" s="192"/>
      <c r="AM484" s="192"/>
      <c r="AN484" s="192"/>
      <c r="AO484" s="192"/>
      <c r="AP484" s="192"/>
      <c r="AQ484" s="192"/>
      <c r="AR484" s="192"/>
      <c r="AS484" s="192"/>
      <c r="AT484" s="192"/>
      <c r="AU484" s="192"/>
      <c r="AV484" s="192"/>
    </row>
    <row r="485">
      <c r="A485" s="192"/>
      <c r="B485" s="192"/>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c r="AA485" s="192"/>
      <c r="AB485" s="192"/>
      <c r="AC485" s="192"/>
      <c r="AD485" s="192"/>
      <c r="AE485" s="192"/>
      <c r="AF485" s="192"/>
      <c r="AG485" s="192"/>
      <c r="AH485" s="192"/>
      <c r="AI485" s="192"/>
      <c r="AJ485" s="192"/>
      <c r="AK485" s="192"/>
      <c r="AL485" s="192"/>
      <c r="AM485" s="192"/>
      <c r="AN485" s="192"/>
      <c r="AO485" s="192"/>
      <c r="AP485" s="192"/>
      <c r="AQ485" s="192"/>
      <c r="AR485" s="192"/>
      <c r="AS485" s="192"/>
      <c r="AT485" s="192"/>
      <c r="AU485" s="192"/>
      <c r="AV485" s="192"/>
    </row>
    <row r="486">
      <c r="A486" s="192"/>
      <c r="B486" s="192"/>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c r="AA486" s="192"/>
      <c r="AB486" s="192"/>
      <c r="AC486" s="192"/>
      <c r="AD486" s="192"/>
      <c r="AE486" s="192"/>
      <c r="AF486" s="192"/>
      <c r="AG486" s="192"/>
      <c r="AH486" s="192"/>
      <c r="AI486" s="192"/>
      <c r="AJ486" s="192"/>
      <c r="AK486" s="192"/>
      <c r="AL486" s="192"/>
      <c r="AM486" s="192"/>
      <c r="AN486" s="192"/>
      <c r="AO486" s="192"/>
      <c r="AP486" s="192"/>
      <c r="AQ486" s="192"/>
      <c r="AR486" s="192"/>
      <c r="AS486" s="192"/>
      <c r="AT486" s="192"/>
      <c r="AU486" s="192"/>
      <c r="AV486" s="192"/>
    </row>
    <row r="487">
      <c r="A487" s="192"/>
      <c r="B487" s="192"/>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c r="AA487" s="192"/>
      <c r="AB487" s="192"/>
      <c r="AC487" s="192"/>
      <c r="AD487" s="192"/>
      <c r="AE487" s="192"/>
      <c r="AF487" s="192"/>
      <c r="AG487" s="192"/>
      <c r="AH487" s="192"/>
      <c r="AI487" s="192"/>
      <c r="AJ487" s="192"/>
      <c r="AK487" s="192"/>
      <c r="AL487" s="192"/>
      <c r="AM487" s="192"/>
      <c r="AN487" s="192"/>
      <c r="AO487" s="192"/>
      <c r="AP487" s="192"/>
      <c r="AQ487" s="192"/>
      <c r="AR487" s="192"/>
      <c r="AS487" s="192"/>
      <c r="AT487" s="192"/>
      <c r="AU487" s="192"/>
      <c r="AV487" s="192"/>
    </row>
    <row r="488">
      <c r="A488" s="192"/>
      <c r="B488" s="192"/>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c r="AA488" s="192"/>
      <c r="AB488" s="192"/>
      <c r="AC488" s="192"/>
      <c r="AD488" s="192"/>
      <c r="AE488" s="192"/>
      <c r="AF488" s="192"/>
      <c r="AG488" s="192"/>
      <c r="AH488" s="192"/>
      <c r="AI488" s="192"/>
      <c r="AJ488" s="192"/>
      <c r="AK488" s="192"/>
      <c r="AL488" s="192"/>
      <c r="AM488" s="192"/>
      <c r="AN488" s="192"/>
      <c r="AO488" s="192"/>
      <c r="AP488" s="192"/>
      <c r="AQ488" s="192"/>
      <c r="AR488" s="192"/>
      <c r="AS488" s="192"/>
      <c r="AT488" s="192"/>
      <c r="AU488" s="192"/>
      <c r="AV488" s="192"/>
    </row>
    <row r="489">
      <c r="A489" s="192"/>
      <c r="B489" s="192"/>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2"/>
      <c r="AA489" s="192"/>
      <c r="AB489" s="192"/>
      <c r="AC489" s="192"/>
      <c r="AD489" s="192"/>
      <c r="AE489" s="192"/>
      <c r="AF489" s="192"/>
      <c r="AG489" s="192"/>
      <c r="AH489" s="192"/>
      <c r="AI489" s="192"/>
      <c r="AJ489" s="192"/>
      <c r="AK489" s="192"/>
      <c r="AL489" s="192"/>
      <c r="AM489" s="192"/>
      <c r="AN489" s="192"/>
      <c r="AO489" s="192"/>
      <c r="AP489" s="192"/>
      <c r="AQ489" s="192"/>
      <c r="AR489" s="192"/>
      <c r="AS489" s="192"/>
      <c r="AT489" s="192"/>
      <c r="AU489" s="192"/>
      <c r="AV489" s="192"/>
    </row>
    <row r="490">
      <c r="A490" s="192"/>
      <c r="B490" s="192"/>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c r="AA490" s="192"/>
      <c r="AB490" s="192"/>
      <c r="AC490" s="192"/>
      <c r="AD490" s="192"/>
      <c r="AE490" s="192"/>
      <c r="AF490" s="192"/>
      <c r="AG490" s="192"/>
      <c r="AH490" s="192"/>
      <c r="AI490" s="192"/>
      <c r="AJ490" s="192"/>
      <c r="AK490" s="192"/>
      <c r="AL490" s="192"/>
      <c r="AM490" s="192"/>
      <c r="AN490" s="192"/>
      <c r="AO490" s="192"/>
      <c r="AP490" s="192"/>
      <c r="AQ490" s="192"/>
      <c r="AR490" s="192"/>
      <c r="AS490" s="192"/>
      <c r="AT490" s="192"/>
      <c r="AU490" s="192"/>
      <c r="AV490" s="192"/>
    </row>
    <row r="491">
      <c r="A491" s="192"/>
      <c r="B491" s="192"/>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2"/>
      <c r="AL491" s="192"/>
      <c r="AM491" s="192"/>
      <c r="AN491" s="192"/>
      <c r="AO491" s="192"/>
      <c r="AP491" s="192"/>
      <c r="AQ491" s="192"/>
      <c r="AR491" s="192"/>
      <c r="AS491" s="192"/>
      <c r="AT491" s="192"/>
      <c r="AU491" s="192"/>
      <c r="AV491" s="192"/>
    </row>
    <row r="492">
      <c r="A492" s="192"/>
      <c r="B492" s="192"/>
      <c r="C492" s="192"/>
      <c r="D492" s="192"/>
      <c r="E492" s="192"/>
      <c r="F492" s="192"/>
      <c r="G492" s="192"/>
      <c r="H492" s="192"/>
      <c r="I492" s="192"/>
      <c r="J492" s="192"/>
      <c r="K492" s="192"/>
      <c r="L492" s="192"/>
      <c r="M492" s="192"/>
      <c r="N492" s="192"/>
      <c r="O492" s="192"/>
      <c r="P492" s="192"/>
      <c r="Q492" s="192"/>
      <c r="R492" s="192"/>
      <c r="S492" s="192"/>
      <c r="T492" s="192"/>
      <c r="U492" s="192"/>
      <c r="V492" s="192"/>
      <c r="W492" s="192"/>
      <c r="X492" s="192"/>
      <c r="Y492" s="192"/>
      <c r="Z492" s="192"/>
      <c r="AA492" s="192"/>
      <c r="AB492" s="192"/>
      <c r="AC492" s="192"/>
      <c r="AD492" s="192"/>
      <c r="AE492" s="192"/>
      <c r="AF492" s="192"/>
      <c r="AG492" s="192"/>
      <c r="AH492" s="192"/>
      <c r="AI492" s="192"/>
      <c r="AJ492" s="192"/>
      <c r="AK492" s="192"/>
      <c r="AL492" s="192"/>
      <c r="AM492" s="192"/>
      <c r="AN492" s="192"/>
      <c r="AO492" s="192"/>
      <c r="AP492" s="192"/>
      <c r="AQ492" s="192"/>
      <c r="AR492" s="192"/>
      <c r="AS492" s="192"/>
      <c r="AT492" s="192"/>
      <c r="AU492" s="192"/>
      <c r="AV492" s="192"/>
    </row>
    <row r="493">
      <c r="A493" s="192"/>
      <c r="B493" s="192"/>
      <c r="C493" s="192"/>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2"/>
      <c r="AA493" s="192"/>
      <c r="AB493" s="192"/>
      <c r="AC493" s="192"/>
      <c r="AD493" s="192"/>
      <c r="AE493" s="192"/>
      <c r="AF493" s="192"/>
      <c r="AG493" s="192"/>
      <c r="AH493" s="192"/>
      <c r="AI493" s="192"/>
      <c r="AJ493" s="192"/>
      <c r="AK493" s="192"/>
      <c r="AL493" s="192"/>
      <c r="AM493" s="192"/>
      <c r="AN493" s="192"/>
      <c r="AO493" s="192"/>
      <c r="AP493" s="192"/>
      <c r="AQ493" s="192"/>
      <c r="AR493" s="192"/>
      <c r="AS493" s="192"/>
      <c r="AT493" s="192"/>
      <c r="AU493" s="192"/>
      <c r="AV493" s="192"/>
    </row>
    <row r="494">
      <c r="A494" s="192"/>
      <c r="B494" s="192"/>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2"/>
      <c r="AL494" s="192"/>
      <c r="AM494" s="192"/>
      <c r="AN494" s="192"/>
      <c r="AO494" s="192"/>
      <c r="AP494" s="192"/>
      <c r="AQ494" s="192"/>
      <c r="AR494" s="192"/>
      <c r="AS494" s="192"/>
      <c r="AT494" s="192"/>
      <c r="AU494" s="192"/>
      <c r="AV494" s="192"/>
    </row>
    <row r="495">
      <c r="A495" s="192"/>
      <c r="B495" s="192"/>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c r="AK495" s="192"/>
      <c r="AL495" s="192"/>
      <c r="AM495" s="192"/>
      <c r="AN495" s="192"/>
      <c r="AO495" s="192"/>
      <c r="AP495" s="192"/>
      <c r="AQ495" s="192"/>
      <c r="AR495" s="192"/>
      <c r="AS495" s="192"/>
      <c r="AT495" s="192"/>
      <c r="AU495" s="192"/>
      <c r="AV495" s="192"/>
    </row>
    <row r="496">
      <c r="A496" s="192"/>
      <c r="B496" s="192"/>
      <c r="C496" s="192"/>
      <c r="D496" s="192"/>
      <c r="E496" s="192"/>
      <c r="F496" s="192"/>
      <c r="G496" s="192"/>
      <c r="H496" s="192"/>
      <c r="I496" s="192"/>
      <c r="J496" s="192"/>
      <c r="K496" s="192"/>
      <c r="L496" s="192"/>
      <c r="M496" s="192"/>
      <c r="N496" s="192"/>
      <c r="O496" s="192"/>
      <c r="P496" s="192"/>
      <c r="Q496" s="192"/>
      <c r="R496" s="192"/>
      <c r="S496" s="192"/>
      <c r="T496" s="192"/>
      <c r="U496" s="192"/>
      <c r="V496" s="192"/>
      <c r="W496" s="192"/>
      <c r="X496" s="192"/>
      <c r="Y496" s="192"/>
      <c r="Z496" s="192"/>
      <c r="AA496" s="192"/>
      <c r="AB496" s="192"/>
      <c r="AC496" s="192"/>
      <c r="AD496" s="192"/>
      <c r="AE496" s="192"/>
      <c r="AF496" s="192"/>
      <c r="AG496" s="192"/>
      <c r="AH496" s="192"/>
      <c r="AI496" s="192"/>
      <c r="AJ496" s="192"/>
      <c r="AK496" s="192"/>
      <c r="AL496" s="192"/>
      <c r="AM496" s="192"/>
      <c r="AN496" s="192"/>
      <c r="AO496" s="192"/>
      <c r="AP496" s="192"/>
      <c r="AQ496" s="192"/>
      <c r="AR496" s="192"/>
      <c r="AS496" s="192"/>
      <c r="AT496" s="192"/>
      <c r="AU496" s="192"/>
      <c r="AV496" s="192"/>
    </row>
    <row r="497">
      <c r="A497" s="192"/>
      <c r="B497" s="192"/>
      <c r="C497" s="192"/>
      <c r="D497" s="192"/>
      <c r="E497" s="192"/>
      <c r="F497" s="192"/>
      <c r="G497" s="192"/>
      <c r="H497" s="192"/>
      <c r="I497" s="192"/>
      <c r="J497" s="192"/>
      <c r="K497" s="192"/>
      <c r="L497" s="192"/>
      <c r="M497" s="192"/>
      <c r="N497" s="192"/>
      <c r="O497" s="192"/>
      <c r="P497" s="192"/>
      <c r="Q497" s="192"/>
      <c r="R497" s="192"/>
      <c r="S497" s="192"/>
      <c r="T497" s="192"/>
      <c r="U497" s="192"/>
      <c r="V497" s="192"/>
      <c r="W497" s="192"/>
      <c r="X497" s="192"/>
      <c r="Y497" s="192"/>
      <c r="Z497" s="192"/>
      <c r="AA497" s="192"/>
      <c r="AB497" s="192"/>
      <c r="AC497" s="192"/>
      <c r="AD497" s="192"/>
      <c r="AE497" s="192"/>
      <c r="AF497" s="192"/>
      <c r="AG497" s="192"/>
      <c r="AH497" s="192"/>
      <c r="AI497" s="192"/>
      <c r="AJ497" s="192"/>
      <c r="AK497" s="192"/>
      <c r="AL497" s="192"/>
      <c r="AM497" s="192"/>
      <c r="AN497" s="192"/>
      <c r="AO497" s="192"/>
      <c r="AP497" s="192"/>
      <c r="AQ497" s="192"/>
      <c r="AR497" s="192"/>
      <c r="AS497" s="192"/>
      <c r="AT497" s="192"/>
      <c r="AU497" s="192"/>
      <c r="AV497" s="192"/>
    </row>
    <row r="498">
      <c r="A498" s="192"/>
      <c r="B498" s="192"/>
      <c r="C498" s="192"/>
      <c r="D498" s="192"/>
      <c r="E498" s="192"/>
      <c r="F498" s="192"/>
      <c r="G498" s="192"/>
      <c r="H498" s="192"/>
      <c r="I498" s="192"/>
      <c r="J498" s="192"/>
      <c r="K498" s="192"/>
      <c r="L498" s="192"/>
      <c r="M498" s="192"/>
      <c r="N498" s="192"/>
      <c r="O498" s="192"/>
      <c r="P498" s="192"/>
      <c r="Q498" s="192"/>
      <c r="R498" s="192"/>
      <c r="S498" s="192"/>
      <c r="T498" s="192"/>
      <c r="U498" s="192"/>
      <c r="V498" s="192"/>
      <c r="W498" s="192"/>
      <c r="X498" s="192"/>
      <c r="Y498" s="192"/>
      <c r="Z498" s="192"/>
      <c r="AA498" s="192"/>
      <c r="AB498" s="192"/>
      <c r="AC498" s="192"/>
      <c r="AD498" s="192"/>
      <c r="AE498" s="192"/>
      <c r="AF498" s="192"/>
      <c r="AG498" s="192"/>
      <c r="AH498" s="192"/>
      <c r="AI498" s="192"/>
      <c r="AJ498" s="192"/>
      <c r="AK498" s="192"/>
      <c r="AL498" s="192"/>
      <c r="AM498" s="192"/>
      <c r="AN498" s="192"/>
      <c r="AO498" s="192"/>
      <c r="AP498" s="192"/>
      <c r="AQ498" s="192"/>
      <c r="AR498" s="192"/>
      <c r="AS498" s="192"/>
      <c r="AT498" s="192"/>
      <c r="AU498" s="192"/>
      <c r="AV498" s="192"/>
    </row>
    <row r="499">
      <c r="A499" s="192"/>
      <c r="B499" s="192"/>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2"/>
      <c r="AA499" s="192"/>
      <c r="AB499" s="192"/>
      <c r="AC499" s="192"/>
      <c r="AD499" s="192"/>
      <c r="AE499" s="192"/>
      <c r="AF499" s="192"/>
      <c r="AG499" s="192"/>
      <c r="AH499" s="192"/>
      <c r="AI499" s="192"/>
      <c r="AJ499" s="192"/>
      <c r="AK499" s="192"/>
      <c r="AL499" s="192"/>
      <c r="AM499" s="192"/>
      <c r="AN499" s="192"/>
      <c r="AO499" s="192"/>
      <c r="AP499" s="192"/>
      <c r="AQ499" s="192"/>
      <c r="AR499" s="192"/>
      <c r="AS499" s="192"/>
      <c r="AT499" s="192"/>
      <c r="AU499" s="192"/>
      <c r="AV499" s="192"/>
    </row>
    <row r="500">
      <c r="A500" s="192"/>
      <c r="B500" s="192"/>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c r="AA500" s="192"/>
      <c r="AB500" s="192"/>
      <c r="AC500" s="192"/>
      <c r="AD500" s="192"/>
      <c r="AE500" s="192"/>
      <c r="AF500" s="192"/>
      <c r="AG500" s="192"/>
      <c r="AH500" s="192"/>
      <c r="AI500" s="192"/>
      <c r="AJ500" s="192"/>
      <c r="AK500" s="192"/>
      <c r="AL500" s="192"/>
      <c r="AM500" s="192"/>
      <c r="AN500" s="192"/>
      <c r="AO500" s="192"/>
      <c r="AP500" s="192"/>
      <c r="AQ500" s="192"/>
      <c r="AR500" s="192"/>
      <c r="AS500" s="192"/>
      <c r="AT500" s="192"/>
      <c r="AU500" s="192"/>
      <c r="AV500" s="192"/>
    </row>
    <row r="501">
      <c r="A501" s="192"/>
      <c r="B501" s="192"/>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c r="AA501" s="192"/>
      <c r="AB501" s="192"/>
      <c r="AC501" s="192"/>
      <c r="AD501" s="192"/>
      <c r="AE501" s="192"/>
      <c r="AF501" s="192"/>
      <c r="AG501" s="192"/>
      <c r="AH501" s="192"/>
      <c r="AI501" s="192"/>
      <c r="AJ501" s="192"/>
      <c r="AK501" s="192"/>
      <c r="AL501" s="192"/>
      <c r="AM501" s="192"/>
      <c r="AN501" s="192"/>
      <c r="AO501" s="192"/>
      <c r="AP501" s="192"/>
      <c r="AQ501" s="192"/>
      <c r="AR501" s="192"/>
      <c r="AS501" s="192"/>
      <c r="AT501" s="192"/>
      <c r="AU501" s="192"/>
      <c r="AV501" s="192"/>
    </row>
    <row r="502">
      <c r="A502" s="192"/>
      <c r="B502" s="192"/>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c r="AA502" s="192"/>
      <c r="AB502" s="192"/>
      <c r="AC502" s="192"/>
      <c r="AD502" s="192"/>
      <c r="AE502" s="192"/>
      <c r="AF502" s="192"/>
      <c r="AG502" s="192"/>
      <c r="AH502" s="192"/>
      <c r="AI502" s="192"/>
      <c r="AJ502" s="192"/>
      <c r="AK502" s="192"/>
      <c r="AL502" s="192"/>
      <c r="AM502" s="192"/>
      <c r="AN502" s="192"/>
      <c r="AO502" s="192"/>
      <c r="AP502" s="192"/>
      <c r="AQ502" s="192"/>
      <c r="AR502" s="192"/>
      <c r="AS502" s="192"/>
      <c r="AT502" s="192"/>
      <c r="AU502" s="192"/>
      <c r="AV502" s="192"/>
    </row>
    <row r="503">
      <c r="A503" s="192"/>
      <c r="B503" s="192"/>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c r="AA503" s="192"/>
      <c r="AB503" s="192"/>
      <c r="AC503" s="192"/>
      <c r="AD503" s="192"/>
      <c r="AE503" s="192"/>
      <c r="AF503" s="192"/>
      <c r="AG503" s="192"/>
      <c r="AH503" s="192"/>
      <c r="AI503" s="192"/>
      <c r="AJ503" s="192"/>
      <c r="AK503" s="192"/>
      <c r="AL503" s="192"/>
      <c r="AM503" s="192"/>
      <c r="AN503" s="192"/>
      <c r="AO503" s="192"/>
      <c r="AP503" s="192"/>
      <c r="AQ503" s="192"/>
      <c r="AR503" s="192"/>
      <c r="AS503" s="192"/>
      <c r="AT503" s="192"/>
      <c r="AU503" s="192"/>
      <c r="AV503" s="192"/>
    </row>
    <row r="504">
      <c r="A504" s="192"/>
      <c r="B504" s="192"/>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c r="AA504" s="192"/>
      <c r="AB504" s="192"/>
      <c r="AC504" s="192"/>
      <c r="AD504" s="192"/>
      <c r="AE504" s="192"/>
      <c r="AF504" s="192"/>
      <c r="AG504" s="192"/>
      <c r="AH504" s="192"/>
      <c r="AI504" s="192"/>
      <c r="AJ504" s="192"/>
      <c r="AK504" s="192"/>
      <c r="AL504" s="192"/>
      <c r="AM504" s="192"/>
      <c r="AN504" s="192"/>
      <c r="AO504" s="192"/>
      <c r="AP504" s="192"/>
      <c r="AQ504" s="192"/>
      <c r="AR504" s="192"/>
      <c r="AS504" s="192"/>
      <c r="AT504" s="192"/>
      <c r="AU504" s="192"/>
      <c r="AV504" s="192"/>
    </row>
    <row r="505">
      <c r="A505" s="192"/>
      <c r="B505" s="192"/>
      <c r="C505" s="192"/>
      <c r="D505" s="192"/>
      <c r="E505" s="192"/>
      <c r="F505" s="192"/>
      <c r="G505" s="192"/>
      <c r="H505" s="192"/>
      <c r="I505" s="192"/>
      <c r="J505" s="192"/>
      <c r="K505" s="192"/>
      <c r="L505" s="192"/>
      <c r="M505" s="192"/>
      <c r="N505" s="192"/>
      <c r="O505" s="192"/>
      <c r="P505" s="192"/>
      <c r="Q505" s="192"/>
      <c r="R505" s="192"/>
      <c r="S505" s="192"/>
      <c r="T505" s="192"/>
      <c r="U505" s="192"/>
      <c r="V505" s="192"/>
      <c r="W505" s="192"/>
      <c r="X505" s="192"/>
      <c r="Y505" s="192"/>
      <c r="Z505" s="192"/>
      <c r="AA505" s="192"/>
      <c r="AB505" s="192"/>
      <c r="AC505" s="192"/>
      <c r="AD505" s="192"/>
      <c r="AE505" s="192"/>
      <c r="AF505" s="192"/>
      <c r="AG505" s="192"/>
      <c r="AH505" s="192"/>
      <c r="AI505" s="192"/>
      <c r="AJ505" s="192"/>
      <c r="AK505" s="192"/>
      <c r="AL505" s="192"/>
      <c r="AM505" s="192"/>
      <c r="AN505" s="192"/>
      <c r="AO505" s="192"/>
      <c r="AP505" s="192"/>
      <c r="AQ505" s="192"/>
      <c r="AR505" s="192"/>
      <c r="AS505" s="192"/>
      <c r="AT505" s="192"/>
      <c r="AU505" s="192"/>
      <c r="AV505" s="192"/>
    </row>
    <row r="506">
      <c r="A506" s="192"/>
      <c r="B506" s="192"/>
      <c r="C506" s="192"/>
      <c r="D506" s="192"/>
      <c r="E506" s="192"/>
      <c r="F506" s="192"/>
      <c r="G506" s="192"/>
      <c r="H506" s="192"/>
      <c r="I506" s="192"/>
      <c r="J506" s="192"/>
      <c r="K506" s="192"/>
      <c r="L506" s="192"/>
      <c r="M506" s="192"/>
      <c r="N506" s="192"/>
      <c r="O506" s="192"/>
      <c r="P506" s="192"/>
      <c r="Q506" s="192"/>
      <c r="R506" s="192"/>
      <c r="S506" s="192"/>
      <c r="T506" s="192"/>
      <c r="U506" s="192"/>
      <c r="V506" s="192"/>
      <c r="W506" s="192"/>
      <c r="X506" s="192"/>
      <c r="Y506" s="192"/>
      <c r="Z506" s="192"/>
      <c r="AA506" s="192"/>
      <c r="AB506" s="192"/>
      <c r="AC506" s="192"/>
      <c r="AD506" s="192"/>
      <c r="AE506" s="192"/>
      <c r="AF506" s="192"/>
      <c r="AG506" s="192"/>
      <c r="AH506" s="192"/>
      <c r="AI506" s="192"/>
      <c r="AJ506" s="192"/>
      <c r="AK506" s="192"/>
      <c r="AL506" s="192"/>
      <c r="AM506" s="192"/>
      <c r="AN506" s="192"/>
      <c r="AO506" s="192"/>
      <c r="AP506" s="192"/>
      <c r="AQ506" s="192"/>
      <c r="AR506" s="192"/>
      <c r="AS506" s="192"/>
      <c r="AT506" s="192"/>
      <c r="AU506" s="192"/>
      <c r="AV506" s="192"/>
    </row>
    <row r="507">
      <c r="A507" s="192"/>
      <c r="B507" s="192"/>
      <c r="C507" s="192"/>
      <c r="D507" s="192"/>
      <c r="E507" s="192"/>
      <c r="F507" s="192"/>
      <c r="G507" s="192"/>
      <c r="H507" s="192"/>
      <c r="I507" s="192"/>
      <c r="J507" s="192"/>
      <c r="K507" s="192"/>
      <c r="L507" s="192"/>
      <c r="M507" s="192"/>
      <c r="N507" s="192"/>
      <c r="O507" s="192"/>
      <c r="P507" s="192"/>
      <c r="Q507" s="192"/>
      <c r="R507" s="192"/>
      <c r="S507" s="192"/>
      <c r="T507" s="192"/>
      <c r="U507" s="192"/>
      <c r="V507" s="192"/>
      <c r="W507" s="192"/>
      <c r="X507" s="192"/>
      <c r="Y507" s="192"/>
      <c r="Z507" s="192"/>
      <c r="AA507" s="192"/>
      <c r="AB507" s="192"/>
      <c r="AC507" s="192"/>
      <c r="AD507" s="192"/>
      <c r="AE507" s="192"/>
      <c r="AF507" s="192"/>
      <c r="AG507" s="192"/>
      <c r="AH507" s="192"/>
      <c r="AI507" s="192"/>
      <c r="AJ507" s="192"/>
      <c r="AK507" s="192"/>
      <c r="AL507" s="192"/>
      <c r="AM507" s="192"/>
      <c r="AN507" s="192"/>
      <c r="AO507" s="192"/>
      <c r="AP507" s="192"/>
      <c r="AQ507" s="192"/>
      <c r="AR507" s="192"/>
      <c r="AS507" s="192"/>
      <c r="AT507" s="192"/>
      <c r="AU507" s="192"/>
      <c r="AV507" s="192"/>
    </row>
    <row r="508">
      <c r="A508" s="192"/>
      <c r="B508" s="192"/>
      <c r="C508" s="192"/>
      <c r="D508" s="192"/>
      <c r="E508" s="192"/>
      <c r="F508" s="192"/>
      <c r="G508" s="192"/>
      <c r="H508" s="192"/>
      <c r="I508" s="192"/>
      <c r="J508" s="192"/>
      <c r="K508" s="192"/>
      <c r="L508" s="192"/>
      <c r="M508" s="192"/>
      <c r="N508" s="192"/>
      <c r="O508" s="192"/>
      <c r="P508" s="192"/>
      <c r="Q508" s="192"/>
      <c r="R508" s="192"/>
      <c r="S508" s="192"/>
      <c r="T508" s="192"/>
      <c r="U508" s="192"/>
      <c r="V508" s="192"/>
      <c r="W508" s="192"/>
      <c r="X508" s="192"/>
      <c r="Y508" s="192"/>
      <c r="Z508" s="192"/>
      <c r="AA508" s="192"/>
      <c r="AB508" s="192"/>
      <c r="AC508" s="192"/>
      <c r="AD508" s="192"/>
      <c r="AE508" s="192"/>
      <c r="AF508" s="192"/>
      <c r="AG508" s="192"/>
      <c r="AH508" s="192"/>
      <c r="AI508" s="192"/>
      <c r="AJ508" s="192"/>
      <c r="AK508" s="192"/>
      <c r="AL508" s="192"/>
      <c r="AM508" s="192"/>
      <c r="AN508" s="192"/>
      <c r="AO508" s="192"/>
      <c r="AP508" s="192"/>
      <c r="AQ508" s="192"/>
      <c r="AR508" s="192"/>
      <c r="AS508" s="192"/>
      <c r="AT508" s="192"/>
      <c r="AU508" s="192"/>
      <c r="AV508" s="192"/>
    </row>
    <row r="509">
      <c r="A509" s="192"/>
      <c r="B509" s="192"/>
      <c r="C509" s="192"/>
      <c r="D509" s="192"/>
      <c r="E509" s="192"/>
      <c r="F509" s="192"/>
      <c r="G509" s="192"/>
      <c r="H509" s="192"/>
      <c r="I509" s="192"/>
      <c r="J509" s="192"/>
      <c r="K509" s="192"/>
      <c r="L509" s="192"/>
      <c r="M509" s="192"/>
      <c r="N509" s="192"/>
      <c r="O509" s="192"/>
      <c r="P509" s="192"/>
      <c r="Q509" s="192"/>
      <c r="R509" s="192"/>
      <c r="S509" s="192"/>
      <c r="T509" s="192"/>
      <c r="U509" s="192"/>
      <c r="V509" s="192"/>
      <c r="W509" s="192"/>
      <c r="X509" s="192"/>
      <c r="Y509" s="192"/>
      <c r="Z509" s="192"/>
      <c r="AA509" s="192"/>
      <c r="AB509" s="192"/>
      <c r="AC509" s="192"/>
      <c r="AD509" s="192"/>
      <c r="AE509" s="192"/>
      <c r="AF509" s="192"/>
      <c r="AG509" s="192"/>
      <c r="AH509" s="192"/>
      <c r="AI509" s="192"/>
      <c r="AJ509" s="192"/>
      <c r="AK509" s="192"/>
      <c r="AL509" s="192"/>
      <c r="AM509" s="192"/>
      <c r="AN509" s="192"/>
      <c r="AO509" s="192"/>
      <c r="AP509" s="192"/>
      <c r="AQ509" s="192"/>
      <c r="AR509" s="192"/>
      <c r="AS509" s="192"/>
      <c r="AT509" s="192"/>
      <c r="AU509" s="192"/>
      <c r="AV509" s="192"/>
    </row>
    <row r="510">
      <c r="A510" s="192"/>
      <c r="B510" s="192"/>
      <c r="C510" s="192"/>
      <c r="D510" s="192"/>
      <c r="E510" s="192"/>
      <c r="F510" s="192"/>
      <c r="G510" s="192"/>
      <c r="H510" s="192"/>
      <c r="I510" s="192"/>
      <c r="J510" s="192"/>
      <c r="K510" s="192"/>
      <c r="L510" s="192"/>
      <c r="M510" s="192"/>
      <c r="N510" s="192"/>
      <c r="O510" s="192"/>
      <c r="P510" s="192"/>
      <c r="Q510" s="192"/>
      <c r="R510" s="192"/>
      <c r="S510" s="192"/>
      <c r="T510" s="192"/>
      <c r="U510" s="192"/>
      <c r="V510" s="192"/>
      <c r="W510" s="192"/>
      <c r="X510" s="192"/>
      <c r="Y510" s="192"/>
      <c r="Z510" s="192"/>
      <c r="AA510" s="192"/>
      <c r="AB510" s="192"/>
      <c r="AC510" s="192"/>
      <c r="AD510" s="192"/>
      <c r="AE510" s="192"/>
      <c r="AF510" s="192"/>
      <c r="AG510" s="192"/>
      <c r="AH510" s="192"/>
      <c r="AI510" s="192"/>
      <c r="AJ510" s="192"/>
      <c r="AK510" s="192"/>
      <c r="AL510" s="192"/>
      <c r="AM510" s="192"/>
      <c r="AN510" s="192"/>
      <c r="AO510" s="192"/>
      <c r="AP510" s="192"/>
      <c r="AQ510" s="192"/>
      <c r="AR510" s="192"/>
      <c r="AS510" s="192"/>
      <c r="AT510" s="192"/>
      <c r="AU510" s="192"/>
      <c r="AV510" s="192"/>
    </row>
    <row r="511">
      <c r="A511" s="192"/>
      <c r="B511" s="192"/>
      <c r="C511" s="192"/>
      <c r="D511" s="192"/>
      <c r="E511" s="192"/>
      <c r="F511" s="192"/>
      <c r="G511" s="192"/>
      <c r="H511" s="192"/>
      <c r="I511" s="192"/>
      <c r="J511" s="192"/>
      <c r="K511" s="192"/>
      <c r="L511" s="192"/>
      <c r="M511" s="192"/>
      <c r="N511" s="192"/>
      <c r="O511" s="192"/>
      <c r="P511" s="192"/>
      <c r="Q511" s="192"/>
      <c r="R511" s="192"/>
      <c r="S511" s="192"/>
      <c r="T511" s="192"/>
      <c r="U511" s="192"/>
      <c r="V511" s="192"/>
      <c r="W511" s="192"/>
      <c r="X511" s="192"/>
      <c r="Y511" s="192"/>
      <c r="Z511" s="192"/>
      <c r="AA511" s="192"/>
      <c r="AB511" s="192"/>
      <c r="AC511" s="192"/>
      <c r="AD511" s="192"/>
      <c r="AE511" s="192"/>
      <c r="AF511" s="192"/>
      <c r="AG511" s="192"/>
      <c r="AH511" s="192"/>
      <c r="AI511" s="192"/>
      <c r="AJ511" s="192"/>
      <c r="AK511" s="192"/>
      <c r="AL511" s="192"/>
      <c r="AM511" s="192"/>
      <c r="AN511" s="192"/>
      <c r="AO511" s="192"/>
      <c r="AP511" s="192"/>
      <c r="AQ511" s="192"/>
      <c r="AR511" s="192"/>
      <c r="AS511" s="192"/>
      <c r="AT511" s="192"/>
      <c r="AU511" s="192"/>
      <c r="AV511" s="192"/>
    </row>
    <row r="512">
      <c r="A512" s="192"/>
      <c r="B512" s="192"/>
      <c r="C512" s="192"/>
      <c r="D512" s="192"/>
      <c r="E512" s="192"/>
      <c r="F512" s="192"/>
      <c r="G512" s="192"/>
      <c r="H512" s="192"/>
      <c r="I512" s="192"/>
      <c r="J512" s="192"/>
      <c r="K512" s="192"/>
      <c r="L512" s="192"/>
      <c r="M512" s="192"/>
      <c r="N512" s="192"/>
      <c r="O512" s="192"/>
      <c r="P512" s="192"/>
      <c r="Q512" s="192"/>
      <c r="R512" s="192"/>
      <c r="S512" s="192"/>
      <c r="T512" s="192"/>
      <c r="U512" s="192"/>
      <c r="V512" s="192"/>
      <c r="W512" s="192"/>
      <c r="X512" s="192"/>
      <c r="Y512" s="192"/>
      <c r="Z512" s="192"/>
      <c r="AA512" s="192"/>
      <c r="AB512" s="192"/>
      <c r="AC512" s="192"/>
      <c r="AD512" s="192"/>
      <c r="AE512" s="192"/>
      <c r="AF512" s="192"/>
      <c r="AG512" s="192"/>
      <c r="AH512" s="192"/>
      <c r="AI512" s="192"/>
      <c r="AJ512" s="192"/>
      <c r="AK512" s="192"/>
      <c r="AL512" s="192"/>
      <c r="AM512" s="192"/>
      <c r="AN512" s="192"/>
      <c r="AO512" s="192"/>
      <c r="AP512" s="192"/>
      <c r="AQ512" s="192"/>
      <c r="AR512" s="192"/>
      <c r="AS512" s="192"/>
      <c r="AT512" s="192"/>
      <c r="AU512" s="192"/>
      <c r="AV512" s="192"/>
    </row>
    <row r="513">
      <c r="A513" s="192"/>
      <c r="B513" s="192"/>
      <c r="C513" s="192"/>
      <c r="D513" s="192"/>
      <c r="E513" s="192"/>
      <c r="F513" s="192"/>
      <c r="G513" s="192"/>
      <c r="H513" s="192"/>
      <c r="I513" s="192"/>
      <c r="J513" s="192"/>
      <c r="K513" s="192"/>
      <c r="L513" s="192"/>
      <c r="M513" s="192"/>
      <c r="N513" s="192"/>
      <c r="O513" s="192"/>
      <c r="P513" s="192"/>
      <c r="Q513" s="192"/>
      <c r="R513" s="192"/>
      <c r="S513" s="192"/>
      <c r="T513" s="192"/>
      <c r="U513" s="192"/>
      <c r="V513" s="192"/>
      <c r="W513" s="192"/>
      <c r="X513" s="192"/>
      <c r="Y513" s="192"/>
      <c r="Z513" s="192"/>
      <c r="AA513" s="192"/>
      <c r="AB513" s="192"/>
      <c r="AC513" s="192"/>
      <c r="AD513" s="192"/>
      <c r="AE513" s="192"/>
      <c r="AF513" s="192"/>
      <c r="AG513" s="192"/>
      <c r="AH513" s="192"/>
      <c r="AI513" s="192"/>
      <c r="AJ513" s="192"/>
      <c r="AK513" s="192"/>
      <c r="AL513" s="192"/>
      <c r="AM513" s="192"/>
      <c r="AN513" s="192"/>
      <c r="AO513" s="192"/>
      <c r="AP513" s="192"/>
      <c r="AQ513" s="192"/>
      <c r="AR513" s="192"/>
      <c r="AS513" s="192"/>
      <c r="AT513" s="192"/>
      <c r="AU513" s="192"/>
      <c r="AV513" s="192"/>
    </row>
    <row r="514">
      <c r="A514" s="192"/>
      <c r="B514" s="192"/>
      <c r="C514" s="192"/>
      <c r="D514" s="192"/>
      <c r="E514" s="192"/>
      <c r="F514" s="192"/>
      <c r="G514" s="192"/>
      <c r="H514" s="192"/>
      <c r="I514" s="192"/>
      <c r="J514" s="192"/>
      <c r="K514" s="192"/>
      <c r="L514" s="192"/>
      <c r="M514" s="192"/>
      <c r="N514" s="192"/>
      <c r="O514" s="192"/>
      <c r="P514" s="192"/>
      <c r="Q514" s="192"/>
      <c r="R514" s="192"/>
      <c r="S514" s="192"/>
      <c r="T514" s="192"/>
      <c r="U514" s="192"/>
      <c r="V514" s="192"/>
      <c r="W514" s="192"/>
      <c r="X514" s="192"/>
      <c r="Y514" s="192"/>
      <c r="Z514" s="192"/>
      <c r="AA514" s="192"/>
      <c r="AB514" s="192"/>
      <c r="AC514" s="192"/>
      <c r="AD514" s="192"/>
      <c r="AE514" s="192"/>
      <c r="AF514" s="192"/>
      <c r="AG514" s="192"/>
      <c r="AH514" s="192"/>
      <c r="AI514" s="192"/>
      <c r="AJ514" s="192"/>
      <c r="AK514" s="192"/>
      <c r="AL514" s="192"/>
      <c r="AM514" s="192"/>
      <c r="AN514" s="192"/>
      <c r="AO514" s="192"/>
      <c r="AP514" s="192"/>
      <c r="AQ514" s="192"/>
      <c r="AR514" s="192"/>
      <c r="AS514" s="192"/>
      <c r="AT514" s="192"/>
      <c r="AU514" s="192"/>
      <c r="AV514" s="192"/>
    </row>
    <row r="515">
      <c r="A515" s="192"/>
      <c r="B515" s="192"/>
      <c r="C515" s="192"/>
      <c r="D515" s="192"/>
      <c r="E515" s="192"/>
      <c r="F515" s="192"/>
      <c r="G515" s="192"/>
      <c r="H515" s="192"/>
      <c r="I515" s="192"/>
      <c r="J515" s="192"/>
      <c r="K515" s="192"/>
      <c r="L515" s="192"/>
      <c r="M515" s="192"/>
      <c r="N515" s="192"/>
      <c r="O515" s="192"/>
      <c r="P515" s="192"/>
      <c r="Q515" s="192"/>
      <c r="R515" s="192"/>
      <c r="S515" s="192"/>
      <c r="T515" s="192"/>
      <c r="U515" s="192"/>
      <c r="V515" s="192"/>
      <c r="W515" s="192"/>
      <c r="X515" s="192"/>
      <c r="Y515" s="192"/>
      <c r="Z515" s="192"/>
      <c r="AA515" s="192"/>
      <c r="AB515" s="192"/>
      <c r="AC515" s="192"/>
      <c r="AD515" s="192"/>
      <c r="AE515" s="192"/>
      <c r="AF515" s="192"/>
      <c r="AG515" s="192"/>
      <c r="AH515" s="192"/>
      <c r="AI515" s="192"/>
      <c r="AJ515" s="192"/>
      <c r="AK515" s="192"/>
      <c r="AL515" s="192"/>
      <c r="AM515" s="192"/>
      <c r="AN515" s="192"/>
      <c r="AO515" s="192"/>
      <c r="AP515" s="192"/>
      <c r="AQ515" s="192"/>
      <c r="AR515" s="192"/>
      <c r="AS515" s="192"/>
      <c r="AT515" s="192"/>
      <c r="AU515" s="192"/>
      <c r="AV515" s="192"/>
    </row>
    <row r="516">
      <c r="A516" s="192"/>
      <c r="B516" s="192"/>
      <c r="C516" s="192"/>
      <c r="D516" s="192"/>
      <c r="E516" s="192"/>
      <c r="F516" s="192"/>
      <c r="G516" s="192"/>
      <c r="H516" s="192"/>
      <c r="I516" s="192"/>
      <c r="J516" s="192"/>
      <c r="K516" s="192"/>
      <c r="L516" s="192"/>
      <c r="M516" s="192"/>
      <c r="N516" s="192"/>
      <c r="O516" s="192"/>
      <c r="P516" s="192"/>
      <c r="Q516" s="192"/>
      <c r="R516" s="192"/>
      <c r="S516" s="192"/>
      <c r="T516" s="192"/>
      <c r="U516" s="192"/>
      <c r="V516" s="192"/>
      <c r="W516" s="192"/>
      <c r="X516" s="192"/>
      <c r="Y516" s="192"/>
      <c r="Z516" s="192"/>
      <c r="AA516" s="192"/>
      <c r="AB516" s="192"/>
      <c r="AC516" s="192"/>
      <c r="AD516" s="192"/>
      <c r="AE516" s="192"/>
      <c r="AF516" s="192"/>
      <c r="AG516" s="192"/>
      <c r="AH516" s="192"/>
      <c r="AI516" s="192"/>
      <c r="AJ516" s="192"/>
      <c r="AK516" s="192"/>
      <c r="AL516" s="192"/>
      <c r="AM516" s="192"/>
      <c r="AN516" s="192"/>
      <c r="AO516" s="192"/>
      <c r="AP516" s="192"/>
      <c r="AQ516" s="192"/>
      <c r="AR516" s="192"/>
      <c r="AS516" s="192"/>
      <c r="AT516" s="192"/>
      <c r="AU516" s="192"/>
      <c r="AV516" s="192"/>
    </row>
    <row r="517">
      <c r="A517" s="192"/>
      <c r="B517" s="192"/>
      <c r="C517" s="192"/>
      <c r="D517" s="192"/>
      <c r="E517" s="192"/>
      <c r="F517" s="192"/>
      <c r="G517" s="192"/>
      <c r="H517" s="192"/>
      <c r="I517" s="192"/>
      <c r="J517" s="192"/>
      <c r="K517" s="192"/>
      <c r="L517" s="192"/>
      <c r="M517" s="192"/>
      <c r="N517" s="192"/>
      <c r="O517" s="192"/>
      <c r="P517" s="192"/>
      <c r="Q517" s="192"/>
      <c r="R517" s="192"/>
      <c r="S517" s="192"/>
      <c r="T517" s="192"/>
      <c r="U517" s="192"/>
      <c r="V517" s="192"/>
      <c r="W517" s="192"/>
      <c r="X517" s="192"/>
      <c r="Y517" s="192"/>
      <c r="Z517" s="192"/>
      <c r="AA517" s="192"/>
      <c r="AB517" s="192"/>
      <c r="AC517" s="192"/>
      <c r="AD517" s="192"/>
      <c r="AE517" s="192"/>
      <c r="AF517" s="192"/>
      <c r="AG517" s="192"/>
      <c r="AH517" s="192"/>
      <c r="AI517" s="192"/>
      <c r="AJ517" s="192"/>
      <c r="AK517" s="192"/>
      <c r="AL517" s="192"/>
      <c r="AM517" s="192"/>
      <c r="AN517" s="192"/>
      <c r="AO517" s="192"/>
      <c r="AP517" s="192"/>
      <c r="AQ517" s="192"/>
      <c r="AR517" s="192"/>
      <c r="AS517" s="192"/>
      <c r="AT517" s="192"/>
      <c r="AU517" s="192"/>
      <c r="AV517" s="192"/>
    </row>
    <row r="518">
      <c r="A518" s="192"/>
      <c r="B518" s="192"/>
      <c r="C518" s="192"/>
      <c r="D518" s="192"/>
      <c r="E518" s="192"/>
      <c r="F518" s="192"/>
      <c r="G518" s="192"/>
      <c r="H518" s="192"/>
      <c r="I518" s="192"/>
      <c r="J518" s="192"/>
      <c r="K518" s="192"/>
      <c r="L518" s="192"/>
      <c r="M518" s="192"/>
      <c r="N518" s="192"/>
      <c r="O518" s="192"/>
      <c r="P518" s="192"/>
      <c r="Q518" s="192"/>
      <c r="R518" s="192"/>
      <c r="S518" s="192"/>
      <c r="T518" s="192"/>
      <c r="U518" s="192"/>
      <c r="V518" s="192"/>
      <c r="W518" s="192"/>
      <c r="X518" s="192"/>
      <c r="Y518" s="192"/>
      <c r="Z518" s="192"/>
      <c r="AA518" s="192"/>
      <c r="AB518" s="192"/>
      <c r="AC518" s="192"/>
      <c r="AD518" s="192"/>
      <c r="AE518" s="192"/>
      <c r="AF518" s="192"/>
      <c r="AG518" s="192"/>
      <c r="AH518" s="192"/>
      <c r="AI518" s="192"/>
      <c r="AJ518" s="192"/>
      <c r="AK518" s="192"/>
      <c r="AL518" s="192"/>
      <c r="AM518" s="192"/>
      <c r="AN518" s="192"/>
      <c r="AO518" s="192"/>
      <c r="AP518" s="192"/>
      <c r="AQ518" s="192"/>
      <c r="AR518" s="192"/>
      <c r="AS518" s="192"/>
      <c r="AT518" s="192"/>
      <c r="AU518" s="192"/>
      <c r="AV518" s="192"/>
    </row>
    <row r="519">
      <c r="A519" s="192"/>
      <c r="B519" s="192"/>
      <c r="C519" s="192"/>
      <c r="D519" s="192"/>
      <c r="E519" s="192"/>
      <c r="F519" s="192"/>
      <c r="G519" s="192"/>
      <c r="H519" s="192"/>
      <c r="I519" s="192"/>
      <c r="J519" s="192"/>
      <c r="K519" s="192"/>
      <c r="L519" s="192"/>
      <c r="M519" s="192"/>
      <c r="N519" s="192"/>
      <c r="O519" s="192"/>
      <c r="P519" s="192"/>
      <c r="Q519" s="192"/>
      <c r="R519" s="192"/>
      <c r="S519" s="192"/>
      <c r="T519" s="192"/>
      <c r="U519" s="192"/>
      <c r="V519" s="192"/>
      <c r="W519" s="192"/>
      <c r="X519" s="192"/>
      <c r="Y519" s="192"/>
      <c r="Z519" s="192"/>
      <c r="AA519" s="192"/>
      <c r="AB519" s="192"/>
      <c r="AC519" s="192"/>
      <c r="AD519" s="192"/>
      <c r="AE519" s="192"/>
      <c r="AF519" s="192"/>
      <c r="AG519" s="192"/>
      <c r="AH519" s="192"/>
      <c r="AI519" s="192"/>
      <c r="AJ519" s="192"/>
      <c r="AK519" s="192"/>
      <c r="AL519" s="192"/>
      <c r="AM519" s="192"/>
      <c r="AN519" s="192"/>
      <c r="AO519" s="192"/>
      <c r="AP519" s="192"/>
      <c r="AQ519" s="192"/>
      <c r="AR519" s="192"/>
      <c r="AS519" s="192"/>
      <c r="AT519" s="192"/>
      <c r="AU519" s="192"/>
      <c r="AV519" s="192"/>
    </row>
    <row r="520">
      <c r="A520" s="192"/>
      <c r="B520" s="192"/>
      <c r="C520" s="192"/>
      <c r="D520" s="192"/>
      <c r="E520" s="192"/>
      <c r="F520" s="192"/>
      <c r="G520" s="192"/>
      <c r="H520" s="192"/>
      <c r="I520" s="192"/>
      <c r="J520" s="192"/>
      <c r="K520" s="192"/>
      <c r="L520" s="192"/>
      <c r="M520" s="192"/>
      <c r="N520" s="192"/>
      <c r="O520" s="192"/>
      <c r="P520" s="192"/>
      <c r="Q520" s="192"/>
      <c r="R520" s="192"/>
      <c r="S520" s="192"/>
      <c r="T520" s="192"/>
      <c r="U520" s="192"/>
      <c r="V520" s="192"/>
      <c r="W520" s="192"/>
      <c r="X520" s="192"/>
      <c r="Y520" s="192"/>
      <c r="Z520" s="192"/>
      <c r="AA520" s="192"/>
      <c r="AB520" s="192"/>
      <c r="AC520" s="192"/>
      <c r="AD520" s="192"/>
      <c r="AE520" s="192"/>
      <c r="AF520" s="192"/>
      <c r="AG520" s="192"/>
      <c r="AH520" s="192"/>
      <c r="AI520" s="192"/>
      <c r="AJ520" s="192"/>
      <c r="AK520" s="192"/>
      <c r="AL520" s="192"/>
      <c r="AM520" s="192"/>
      <c r="AN520" s="192"/>
      <c r="AO520" s="192"/>
      <c r="AP520" s="192"/>
      <c r="AQ520" s="192"/>
      <c r="AR520" s="192"/>
      <c r="AS520" s="192"/>
      <c r="AT520" s="192"/>
      <c r="AU520" s="192"/>
      <c r="AV520" s="192"/>
    </row>
    <row r="521">
      <c r="A521" s="192"/>
      <c r="B521" s="192"/>
      <c r="C521" s="192"/>
      <c r="D521" s="192"/>
      <c r="E521" s="192"/>
      <c r="F521" s="192"/>
      <c r="G521" s="192"/>
      <c r="H521" s="192"/>
      <c r="I521" s="192"/>
      <c r="J521" s="192"/>
      <c r="K521" s="192"/>
      <c r="L521" s="192"/>
      <c r="M521" s="192"/>
      <c r="N521" s="192"/>
      <c r="O521" s="192"/>
      <c r="P521" s="192"/>
      <c r="Q521" s="192"/>
      <c r="R521" s="192"/>
      <c r="S521" s="192"/>
      <c r="T521" s="192"/>
      <c r="U521" s="192"/>
      <c r="V521" s="192"/>
      <c r="W521" s="192"/>
      <c r="X521" s="192"/>
      <c r="Y521" s="192"/>
      <c r="Z521" s="192"/>
      <c r="AA521" s="192"/>
      <c r="AB521" s="192"/>
      <c r="AC521" s="192"/>
      <c r="AD521" s="192"/>
      <c r="AE521" s="192"/>
      <c r="AF521" s="192"/>
      <c r="AG521" s="192"/>
      <c r="AH521" s="192"/>
      <c r="AI521" s="192"/>
      <c r="AJ521" s="192"/>
      <c r="AK521" s="192"/>
      <c r="AL521" s="192"/>
      <c r="AM521" s="192"/>
      <c r="AN521" s="192"/>
      <c r="AO521" s="192"/>
      <c r="AP521" s="192"/>
      <c r="AQ521" s="192"/>
      <c r="AR521" s="192"/>
      <c r="AS521" s="192"/>
      <c r="AT521" s="192"/>
      <c r="AU521" s="192"/>
      <c r="AV521" s="192"/>
    </row>
    <row r="522">
      <c r="A522" s="192"/>
      <c r="B522" s="192"/>
      <c r="C522" s="192"/>
      <c r="D522" s="192"/>
      <c r="E522" s="192"/>
      <c r="F522" s="192"/>
      <c r="G522" s="192"/>
      <c r="H522" s="192"/>
      <c r="I522" s="192"/>
      <c r="J522" s="192"/>
      <c r="K522" s="192"/>
      <c r="L522" s="192"/>
      <c r="M522" s="192"/>
      <c r="N522" s="192"/>
      <c r="O522" s="192"/>
      <c r="P522" s="192"/>
      <c r="Q522" s="192"/>
      <c r="R522" s="192"/>
      <c r="S522" s="192"/>
      <c r="T522" s="192"/>
      <c r="U522" s="192"/>
      <c r="V522" s="192"/>
      <c r="W522" s="192"/>
      <c r="X522" s="192"/>
      <c r="Y522" s="192"/>
      <c r="Z522" s="192"/>
      <c r="AA522" s="192"/>
      <c r="AB522" s="192"/>
      <c r="AC522" s="192"/>
      <c r="AD522" s="192"/>
      <c r="AE522" s="192"/>
      <c r="AF522" s="192"/>
      <c r="AG522" s="192"/>
      <c r="AH522" s="192"/>
      <c r="AI522" s="192"/>
      <c r="AJ522" s="192"/>
      <c r="AK522" s="192"/>
      <c r="AL522" s="192"/>
      <c r="AM522" s="192"/>
      <c r="AN522" s="192"/>
      <c r="AO522" s="192"/>
      <c r="AP522" s="192"/>
      <c r="AQ522" s="192"/>
      <c r="AR522" s="192"/>
      <c r="AS522" s="192"/>
      <c r="AT522" s="192"/>
      <c r="AU522" s="192"/>
      <c r="AV522" s="192"/>
    </row>
    <row r="523">
      <c r="A523" s="192"/>
      <c r="B523" s="192"/>
      <c r="C523" s="192"/>
      <c r="D523" s="192"/>
      <c r="E523" s="192"/>
      <c r="F523" s="192"/>
      <c r="G523" s="192"/>
      <c r="H523" s="192"/>
      <c r="I523" s="192"/>
      <c r="J523" s="192"/>
      <c r="K523" s="192"/>
      <c r="L523" s="192"/>
      <c r="M523" s="192"/>
      <c r="N523" s="192"/>
      <c r="O523" s="192"/>
      <c r="P523" s="192"/>
      <c r="Q523" s="192"/>
      <c r="R523" s="192"/>
      <c r="S523" s="192"/>
      <c r="T523" s="192"/>
      <c r="U523" s="192"/>
      <c r="V523" s="192"/>
      <c r="W523" s="192"/>
      <c r="X523" s="192"/>
      <c r="Y523" s="192"/>
      <c r="Z523" s="192"/>
      <c r="AA523" s="192"/>
      <c r="AB523" s="192"/>
      <c r="AC523" s="192"/>
      <c r="AD523" s="192"/>
      <c r="AE523" s="192"/>
      <c r="AF523" s="192"/>
      <c r="AG523" s="192"/>
      <c r="AH523" s="192"/>
      <c r="AI523" s="192"/>
      <c r="AJ523" s="192"/>
      <c r="AK523" s="192"/>
      <c r="AL523" s="192"/>
      <c r="AM523" s="192"/>
      <c r="AN523" s="192"/>
      <c r="AO523" s="192"/>
      <c r="AP523" s="192"/>
      <c r="AQ523" s="192"/>
      <c r="AR523" s="192"/>
      <c r="AS523" s="192"/>
      <c r="AT523" s="192"/>
      <c r="AU523" s="192"/>
      <c r="AV523" s="192"/>
    </row>
    <row r="524">
      <c r="A524" s="192"/>
      <c r="B524" s="192"/>
      <c r="C524" s="192"/>
      <c r="D524" s="192"/>
      <c r="E524" s="192"/>
      <c r="F524" s="192"/>
      <c r="G524" s="192"/>
      <c r="H524" s="192"/>
      <c r="I524" s="192"/>
      <c r="J524" s="192"/>
      <c r="K524" s="192"/>
      <c r="L524" s="192"/>
      <c r="M524" s="192"/>
      <c r="N524" s="192"/>
      <c r="O524" s="192"/>
      <c r="P524" s="192"/>
      <c r="Q524" s="192"/>
      <c r="R524" s="192"/>
      <c r="S524" s="192"/>
      <c r="T524" s="192"/>
      <c r="U524" s="192"/>
      <c r="V524" s="192"/>
      <c r="W524" s="192"/>
      <c r="X524" s="192"/>
      <c r="Y524" s="192"/>
      <c r="Z524" s="192"/>
      <c r="AA524" s="192"/>
      <c r="AB524" s="192"/>
      <c r="AC524" s="192"/>
      <c r="AD524" s="192"/>
      <c r="AE524" s="192"/>
      <c r="AF524" s="192"/>
      <c r="AG524" s="192"/>
      <c r="AH524" s="192"/>
      <c r="AI524" s="192"/>
      <c r="AJ524" s="192"/>
      <c r="AK524" s="192"/>
      <c r="AL524" s="192"/>
      <c r="AM524" s="192"/>
      <c r="AN524" s="192"/>
      <c r="AO524" s="192"/>
      <c r="AP524" s="192"/>
      <c r="AQ524" s="192"/>
      <c r="AR524" s="192"/>
      <c r="AS524" s="192"/>
      <c r="AT524" s="192"/>
      <c r="AU524" s="192"/>
      <c r="AV524" s="192"/>
    </row>
    <row r="525">
      <c r="A525" s="192"/>
      <c r="B525" s="192"/>
      <c r="C525" s="192"/>
      <c r="D525" s="192"/>
      <c r="E525" s="192"/>
      <c r="F525" s="192"/>
      <c r="G525" s="192"/>
      <c r="H525" s="192"/>
      <c r="I525" s="192"/>
      <c r="J525" s="192"/>
      <c r="K525" s="192"/>
      <c r="L525" s="192"/>
      <c r="M525" s="192"/>
      <c r="N525" s="192"/>
      <c r="O525" s="192"/>
      <c r="P525" s="192"/>
      <c r="Q525" s="192"/>
      <c r="R525" s="192"/>
      <c r="S525" s="192"/>
      <c r="T525" s="192"/>
      <c r="U525" s="192"/>
      <c r="V525" s="192"/>
      <c r="W525" s="192"/>
      <c r="X525" s="192"/>
      <c r="Y525" s="192"/>
      <c r="Z525" s="192"/>
      <c r="AA525" s="192"/>
      <c r="AB525" s="192"/>
      <c r="AC525" s="192"/>
      <c r="AD525" s="192"/>
      <c r="AE525" s="192"/>
      <c r="AF525" s="192"/>
      <c r="AG525" s="192"/>
      <c r="AH525" s="192"/>
      <c r="AI525" s="192"/>
      <c r="AJ525" s="192"/>
      <c r="AK525" s="192"/>
      <c r="AL525" s="192"/>
      <c r="AM525" s="192"/>
      <c r="AN525" s="192"/>
      <c r="AO525" s="192"/>
      <c r="AP525" s="192"/>
      <c r="AQ525" s="192"/>
      <c r="AR525" s="192"/>
      <c r="AS525" s="192"/>
      <c r="AT525" s="192"/>
      <c r="AU525" s="192"/>
      <c r="AV525" s="192"/>
    </row>
    <row r="526">
      <c r="A526" s="192"/>
      <c r="B526" s="192"/>
      <c r="C526" s="192"/>
      <c r="D526" s="192"/>
      <c r="E526" s="192"/>
      <c r="F526" s="192"/>
      <c r="G526" s="192"/>
      <c r="H526" s="192"/>
      <c r="I526" s="192"/>
      <c r="J526" s="192"/>
      <c r="K526" s="192"/>
      <c r="L526" s="192"/>
      <c r="M526" s="192"/>
      <c r="N526" s="192"/>
      <c r="O526" s="192"/>
      <c r="P526" s="192"/>
      <c r="Q526" s="192"/>
      <c r="R526" s="192"/>
      <c r="S526" s="192"/>
      <c r="T526" s="192"/>
      <c r="U526" s="192"/>
      <c r="V526" s="192"/>
      <c r="W526" s="192"/>
      <c r="X526" s="192"/>
      <c r="Y526" s="192"/>
      <c r="Z526" s="192"/>
      <c r="AA526" s="192"/>
      <c r="AB526" s="192"/>
      <c r="AC526" s="192"/>
      <c r="AD526" s="192"/>
      <c r="AE526" s="192"/>
      <c r="AF526" s="192"/>
      <c r="AG526" s="192"/>
      <c r="AH526" s="192"/>
      <c r="AI526" s="192"/>
      <c r="AJ526" s="192"/>
      <c r="AK526" s="192"/>
      <c r="AL526" s="192"/>
      <c r="AM526" s="192"/>
      <c r="AN526" s="192"/>
      <c r="AO526" s="192"/>
      <c r="AP526" s="192"/>
      <c r="AQ526" s="192"/>
      <c r="AR526" s="192"/>
      <c r="AS526" s="192"/>
      <c r="AT526" s="192"/>
      <c r="AU526" s="192"/>
      <c r="AV526" s="192"/>
    </row>
    <row r="527">
      <c r="A527" s="192"/>
      <c r="B527" s="192"/>
      <c r="C527" s="192"/>
      <c r="D527" s="192"/>
      <c r="E527" s="192"/>
      <c r="F527" s="192"/>
      <c r="G527" s="192"/>
      <c r="H527" s="192"/>
      <c r="I527" s="192"/>
      <c r="J527" s="192"/>
      <c r="K527" s="192"/>
      <c r="L527" s="192"/>
      <c r="M527" s="192"/>
      <c r="N527" s="192"/>
      <c r="O527" s="192"/>
      <c r="P527" s="192"/>
      <c r="Q527" s="192"/>
      <c r="R527" s="192"/>
      <c r="S527" s="192"/>
      <c r="T527" s="192"/>
      <c r="U527" s="192"/>
      <c r="V527" s="192"/>
      <c r="W527" s="192"/>
      <c r="X527" s="192"/>
      <c r="Y527" s="192"/>
      <c r="Z527" s="192"/>
      <c r="AA527" s="192"/>
      <c r="AB527" s="192"/>
      <c r="AC527" s="192"/>
      <c r="AD527" s="192"/>
      <c r="AE527" s="192"/>
      <c r="AF527" s="192"/>
      <c r="AG527" s="192"/>
      <c r="AH527" s="192"/>
      <c r="AI527" s="192"/>
      <c r="AJ527" s="192"/>
      <c r="AK527" s="192"/>
      <c r="AL527" s="192"/>
      <c r="AM527" s="192"/>
      <c r="AN527" s="192"/>
      <c r="AO527" s="192"/>
      <c r="AP527" s="192"/>
      <c r="AQ527" s="192"/>
      <c r="AR527" s="192"/>
      <c r="AS527" s="192"/>
      <c r="AT527" s="192"/>
      <c r="AU527" s="192"/>
      <c r="AV527" s="192"/>
    </row>
    <row r="528">
      <c r="A528" s="192"/>
      <c r="B528" s="192"/>
      <c r="C528" s="192"/>
      <c r="D528" s="192"/>
      <c r="E528" s="192"/>
      <c r="F528" s="192"/>
      <c r="G528" s="192"/>
      <c r="H528" s="192"/>
      <c r="I528" s="192"/>
      <c r="J528" s="192"/>
      <c r="K528" s="192"/>
      <c r="L528" s="192"/>
      <c r="M528" s="192"/>
      <c r="N528" s="192"/>
      <c r="O528" s="192"/>
      <c r="P528" s="192"/>
      <c r="Q528" s="192"/>
      <c r="R528" s="192"/>
      <c r="S528" s="192"/>
      <c r="T528" s="192"/>
      <c r="U528" s="192"/>
      <c r="V528" s="192"/>
      <c r="W528" s="192"/>
      <c r="X528" s="192"/>
      <c r="Y528" s="192"/>
      <c r="Z528" s="192"/>
      <c r="AA528" s="192"/>
      <c r="AB528" s="192"/>
      <c r="AC528" s="192"/>
      <c r="AD528" s="192"/>
      <c r="AE528" s="192"/>
      <c r="AF528" s="192"/>
      <c r="AG528" s="192"/>
      <c r="AH528" s="192"/>
      <c r="AI528" s="192"/>
      <c r="AJ528" s="192"/>
      <c r="AK528" s="192"/>
      <c r="AL528" s="192"/>
      <c r="AM528" s="192"/>
      <c r="AN528" s="192"/>
      <c r="AO528" s="192"/>
      <c r="AP528" s="192"/>
      <c r="AQ528" s="192"/>
      <c r="AR528" s="192"/>
      <c r="AS528" s="192"/>
      <c r="AT528" s="192"/>
      <c r="AU528" s="192"/>
      <c r="AV528" s="192"/>
    </row>
    <row r="529">
      <c r="A529" s="192"/>
      <c r="B529" s="192"/>
      <c r="C529" s="192"/>
      <c r="D529" s="192"/>
      <c r="E529" s="192"/>
      <c r="F529" s="192"/>
      <c r="G529" s="192"/>
      <c r="H529" s="192"/>
      <c r="I529" s="192"/>
      <c r="J529" s="192"/>
      <c r="K529" s="192"/>
      <c r="L529" s="192"/>
      <c r="M529" s="192"/>
      <c r="N529" s="192"/>
      <c r="O529" s="192"/>
      <c r="P529" s="192"/>
      <c r="Q529" s="192"/>
      <c r="R529" s="192"/>
      <c r="S529" s="192"/>
      <c r="T529" s="192"/>
      <c r="U529" s="192"/>
      <c r="V529" s="192"/>
      <c r="W529" s="192"/>
      <c r="X529" s="192"/>
      <c r="Y529" s="192"/>
      <c r="Z529" s="192"/>
      <c r="AA529" s="192"/>
      <c r="AB529" s="192"/>
      <c r="AC529" s="192"/>
      <c r="AD529" s="192"/>
      <c r="AE529" s="192"/>
      <c r="AF529" s="192"/>
      <c r="AG529" s="192"/>
      <c r="AH529" s="192"/>
      <c r="AI529" s="192"/>
      <c r="AJ529" s="192"/>
      <c r="AK529" s="192"/>
      <c r="AL529" s="192"/>
      <c r="AM529" s="192"/>
      <c r="AN529" s="192"/>
      <c r="AO529" s="192"/>
      <c r="AP529" s="192"/>
      <c r="AQ529" s="192"/>
      <c r="AR529" s="192"/>
      <c r="AS529" s="192"/>
      <c r="AT529" s="192"/>
      <c r="AU529" s="192"/>
      <c r="AV529" s="192"/>
    </row>
    <row r="530">
      <c r="A530" s="192"/>
      <c r="B530" s="192"/>
      <c r="C530" s="192"/>
      <c r="D530" s="192"/>
      <c r="E530" s="192"/>
      <c r="F530" s="192"/>
      <c r="G530" s="192"/>
      <c r="H530" s="192"/>
      <c r="I530" s="192"/>
      <c r="J530" s="192"/>
      <c r="K530" s="192"/>
      <c r="L530" s="192"/>
      <c r="M530" s="192"/>
      <c r="N530" s="192"/>
      <c r="O530" s="192"/>
      <c r="P530" s="192"/>
      <c r="Q530" s="192"/>
      <c r="R530" s="192"/>
      <c r="S530" s="192"/>
      <c r="T530" s="192"/>
      <c r="U530" s="192"/>
      <c r="V530" s="192"/>
      <c r="W530" s="192"/>
      <c r="X530" s="192"/>
      <c r="Y530" s="192"/>
      <c r="Z530" s="192"/>
      <c r="AA530" s="192"/>
      <c r="AB530" s="192"/>
      <c r="AC530" s="192"/>
      <c r="AD530" s="192"/>
      <c r="AE530" s="192"/>
      <c r="AF530" s="192"/>
      <c r="AG530" s="192"/>
      <c r="AH530" s="192"/>
      <c r="AI530" s="192"/>
      <c r="AJ530" s="192"/>
      <c r="AK530" s="192"/>
      <c r="AL530" s="192"/>
      <c r="AM530" s="192"/>
      <c r="AN530" s="192"/>
      <c r="AO530" s="192"/>
      <c r="AP530" s="192"/>
      <c r="AQ530" s="192"/>
      <c r="AR530" s="192"/>
      <c r="AS530" s="192"/>
      <c r="AT530" s="192"/>
      <c r="AU530" s="192"/>
      <c r="AV530" s="192"/>
    </row>
    <row r="531">
      <c r="A531" s="192"/>
      <c r="B531" s="192"/>
      <c r="C531" s="192"/>
      <c r="D531" s="192"/>
      <c r="E531" s="192"/>
      <c r="F531" s="192"/>
      <c r="G531" s="192"/>
      <c r="H531" s="192"/>
      <c r="I531" s="192"/>
      <c r="J531" s="192"/>
      <c r="K531" s="192"/>
      <c r="L531" s="192"/>
      <c r="M531" s="192"/>
      <c r="N531" s="192"/>
      <c r="O531" s="192"/>
      <c r="P531" s="192"/>
      <c r="Q531" s="192"/>
      <c r="R531" s="192"/>
      <c r="S531" s="192"/>
      <c r="T531" s="192"/>
      <c r="U531" s="192"/>
      <c r="V531" s="192"/>
      <c r="W531" s="192"/>
      <c r="X531" s="192"/>
      <c r="Y531" s="192"/>
      <c r="Z531" s="192"/>
      <c r="AA531" s="192"/>
      <c r="AB531" s="192"/>
      <c r="AC531" s="192"/>
      <c r="AD531" s="192"/>
      <c r="AE531" s="192"/>
      <c r="AF531" s="192"/>
      <c r="AG531" s="192"/>
      <c r="AH531" s="192"/>
      <c r="AI531" s="192"/>
      <c r="AJ531" s="192"/>
      <c r="AK531" s="192"/>
      <c r="AL531" s="192"/>
      <c r="AM531" s="192"/>
      <c r="AN531" s="192"/>
      <c r="AO531" s="192"/>
      <c r="AP531" s="192"/>
      <c r="AQ531" s="192"/>
      <c r="AR531" s="192"/>
      <c r="AS531" s="192"/>
      <c r="AT531" s="192"/>
      <c r="AU531" s="192"/>
      <c r="AV531" s="192"/>
    </row>
    <row r="532">
      <c r="A532" s="192"/>
      <c r="B532" s="192"/>
      <c r="C532" s="192"/>
      <c r="D532" s="192"/>
      <c r="E532" s="192"/>
      <c r="F532" s="192"/>
      <c r="G532" s="192"/>
      <c r="H532" s="192"/>
      <c r="I532" s="192"/>
      <c r="J532" s="192"/>
      <c r="K532" s="192"/>
      <c r="L532" s="192"/>
      <c r="M532" s="192"/>
      <c r="N532" s="192"/>
      <c r="O532" s="192"/>
      <c r="P532" s="192"/>
      <c r="Q532" s="192"/>
      <c r="R532" s="192"/>
      <c r="S532" s="192"/>
      <c r="T532" s="192"/>
      <c r="U532" s="192"/>
      <c r="V532" s="192"/>
      <c r="W532" s="192"/>
      <c r="X532" s="192"/>
      <c r="Y532" s="192"/>
      <c r="Z532" s="192"/>
      <c r="AA532" s="192"/>
      <c r="AB532" s="192"/>
      <c r="AC532" s="192"/>
      <c r="AD532" s="192"/>
      <c r="AE532" s="192"/>
      <c r="AF532" s="192"/>
      <c r="AG532" s="192"/>
      <c r="AH532" s="192"/>
      <c r="AI532" s="192"/>
      <c r="AJ532" s="192"/>
      <c r="AK532" s="192"/>
      <c r="AL532" s="192"/>
      <c r="AM532" s="192"/>
      <c r="AN532" s="192"/>
      <c r="AO532" s="192"/>
      <c r="AP532" s="192"/>
      <c r="AQ532" s="192"/>
      <c r="AR532" s="192"/>
      <c r="AS532" s="192"/>
      <c r="AT532" s="192"/>
      <c r="AU532" s="192"/>
      <c r="AV532" s="192"/>
    </row>
    <row r="533">
      <c r="A533" s="192"/>
      <c r="B533" s="192"/>
      <c r="C533" s="192"/>
      <c r="D533" s="192"/>
      <c r="E533" s="192"/>
      <c r="F533" s="192"/>
      <c r="G533" s="192"/>
      <c r="H533" s="192"/>
      <c r="I533" s="192"/>
      <c r="J533" s="192"/>
      <c r="K533" s="192"/>
      <c r="L533" s="192"/>
      <c r="M533" s="192"/>
      <c r="N533" s="192"/>
      <c r="O533" s="192"/>
      <c r="P533" s="192"/>
      <c r="Q533" s="192"/>
      <c r="R533" s="192"/>
      <c r="S533" s="192"/>
      <c r="T533" s="192"/>
      <c r="U533" s="192"/>
      <c r="V533" s="192"/>
      <c r="W533" s="192"/>
      <c r="X533" s="192"/>
      <c r="Y533" s="192"/>
      <c r="Z533" s="192"/>
      <c r="AA533" s="192"/>
      <c r="AB533" s="192"/>
      <c r="AC533" s="192"/>
      <c r="AD533" s="192"/>
      <c r="AE533" s="192"/>
      <c r="AF533" s="192"/>
      <c r="AG533" s="192"/>
      <c r="AH533" s="192"/>
      <c r="AI533" s="192"/>
      <c r="AJ533" s="192"/>
      <c r="AK533" s="192"/>
      <c r="AL533" s="192"/>
      <c r="AM533" s="192"/>
      <c r="AN533" s="192"/>
      <c r="AO533" s="192"/>
      <c r="AP533" s="192"/>
      <c r="AQ533" s="192"/>
      <c r="AR533" s="192"/>
      <c r="AS533" s="192"/>
      <c r="AT533" s="192"/>
      <c r="AU533" s="192"/>
      <c r="AV533" s="192"/>
    </row>
    <row r="534">
      <c r="A534" s="192"/>
      <c r="B534" s="192"/>
      <c r="C534" s="192"/>
      <c r="D534" s="192"/>
      <c r="E534" s="192"/>
      <c r="F534" s="192"/>
      <c r="G534" s="192"/>
      <c r="H534" s="192"/>
      <c r="I534" s="192"/>
      <c r="J534" s="192"/>
      <c r="K534" s="192"/>
      <c r="L534" s="192"/>
      <c r="M534" s="192"/>
      <c r="N534" s="192"/>
      <c r="O534" s="192"/>
      <c r="P534" s="192"/>
      <c r="Q534" s="192"/>
      <c r="R534" s="192"/>
      <c r="S534" s="192"/>
      <c r="T534" s="192"/>
      <c r="U534" s="192"/>
      <c r="V534" s="192"/>
      <c r="W534" s="192"/>
      <c r="X534" s="192"/>
      <c r="Y534" s="192"/>
      <c r="Z534" s="192"/>
      <c r="AA534" s="192"/>
      <c r="AB534" s="192"/>
      <c r="AC534" s="192"/>
      <c r="AD534" s="192"/>
      <c r="AE534" s="192"/>
      <c r="AF534" s="192"/>
      <c r="AG534" s="192"/>
      <c r="AH534" s="192"/>
      <c r="AI534" s="192"/>
      <c r="AJ534" s="192"/>
      <c r="AK534" s="192"/>
      <c r="AL534" s="192"/>
      <c r="AM534" s="192"/>
      <c r="AN534" s="192"/>
      <c r="AO534" s="192"/>
      <c r="AP534" s="192"/>
      <c r="AQ534" s="192"/>
      <c r="AR534" s="192"/>
      <c r="AS534" s="192"/>
      <c r="AT534" s="192"/>
      <c r="AU534" s="192"/>
      <c r="AV534" s="192"/>
    </row>
    <row r="535">
      <c r="A535" s="192"/>
      <c r="B535" s="192"/>
      <c r="C535" s="192"/>
      <c r="D535" s="192"/>
      <c r="E535" s="192"/>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row>
    <row r="536">
      <c r="A536" s="192"/>
      <c r="B536" s="192"/>
      <c r="C536" s="192"/>
      <c r="D536" s="192"/>
      <c r="E536" s="192"/>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row>
    <row r="537">
      <c r="A537" s="192"/>
      <c r="B537" s="192"/>
      <c r="C537" s="192"/>
      <c r="D537" s="192"/>
      <c r="E537" s="192"/>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row>
    <row r="538">
      <c r="A538" s="192"/>
      <c r="B538" s="192"/>
      <c r="C538" s="192"/>
      <c r="D538" s="192"/>
      <c r="E538" s="192"/>
      <c r="F538" s="192"/>
      <c r="G538" s="192"/>
      <c r="H538" s="192"/>
      <c r="I538" s="192"/>
      <c r="J538" s="192"/>
      <c r="K538" s="192"/>
      <c r="L538" s="192"/>
      <c r="M538" s="192"/>
      <c r="N538" s="192"/>
      <c r="O538" s="192"/>
      <c r="P538" s="192"/>
      <c r="Q538" s="192"/>
      <c r="R538" s="192"/>
      <c r="S538" s="192"/>
      <c r="T538" s="192"/>
      <c r="U538" s="192"/>
      <c r="V538" s="192"/>
      <c r="W538" s="192"/>
      <c r="X538" s="192"/>
      <c r="Y538" s="192"/>
      <c r="Z538" s="192"/>
      <c r="AA538" s="192"/>
      <c r="AB538" s="192"/>
      <c r="AC538" s="192"/>
      <c r="AD538" s="192"/>
      <c r="AE538" s="192"/>
      <c r="AF538" s="192"/>
      <c r="AG538" s="192"/>
      <c r="AH538" s="192"/>
      <c r="AI538" s="192"/>
      <c r="AJ538" s="192"/>
      <c r="AK538" s="192"/>
      <c r="AL538" s="192"/>
      <c r="AM538" s="192"/>
      <c r="AN538" s="192"/>
      <c r="AO538" s="192"/>
      <c r="AP538" s="192"/>
      <c r="AQ538" s="192"/>
      <c r="AR538" s="192"/>
      <c r="AS538" s="192"/>
      <c r="AT538" s="192"/>
      <c r="AU538" s="192"/>
      <c r="AV538" s="192"/>
    </row>
    <row r="539">
      <c r="A539" s="192"/>
      <c r="B539" s="192"/>
      <c r="C539" s="192"/>
      <c r="D539" s="192"/>
      <c r="E539" s="192"/>
      <c r="F539" s="192"/>
      <c r="G539" s="192"/>
      <c r="H539" s="192"/>
      <c r="I539" s="192"/>
      <c r="J539" s="192"/>
      <c r="K539" s="192"/>
      <c r="L539" s="192"/>
      <c r="M539" s="192"/>
      <c r="N539" s="192"/>
      <c r="O539" s="192"/>
      <c r="P539" s="192"/>
      <c r="Q539" s="192"/>
      <c r="R539" s="192"/>
      <c r="S539" s="192"/>
      <c r="T539" s="192"/>
      <c r="U539" s="192"/>
      <c r="V539" s="192"/>
      <c r="W539" s="192"/>
      <c r="X539" s="192"/>
      <c r="Y539" s="192"/>
      <c r="Z539" s="192"/>
      <c r="AA539" s="192"/>
      <c r="AB539" s="192"/>
      <c r="AC539" s="192"/>
      <c r="AD539" s="192"/>
      <c r="AE539" s="192"/>
      <c r="AF539" s="192"/>
      <c r="AG539" s="192"/>
      <c r="AH539" s="192"/>
      <c r="AI539" s="192"/>
      <c r="AJ539" s="192"/>
      <c r="AK539" s="192"/>
      <c r="AL539" s="192"/>
      <c r="AM539" s="192"/>
      <c r="AN539" s="192"/>
      <c r="AO539" s="192"/>
      <c r="AP539" s="192"/>
      <c r="AQ539" s="192"/>
      <c r="AR539" s="192"/>
      <c r="AS539" s="192"/>
      <c r="AT539" s="192"/>
      <c r="AU539" s="192"/>
      <c r="AV539" s="192"/>
    </row>
    <row r="540">
      <c r="A540" s="192"/>
      <c r="B540" s="192"/>
      <c r="C540" s="192"/>
      <c r="D540" s="192"/>
      <c r="E540" s="192"/>
      <c r="F540" s="192"/>
      <c r="G540" s="192"/>
      <c r="H540" s="192"/>
      <c r="I540" s="192"/>
      <c r="J540" s="192"/>
      <c r="K540" s="192"/>
      <c r="L540" s="192"/>
      <c r="M540" s="192"/>
      <c r="N540" s="192"/>
      <c r="O540" s="192"/>
      <c r="P540" s="192"/>
      <c r="Q540" s="192"/>
      <c r="R540" s="192"/>
      <c r="S540" s="192"/>
      <c r="T540" s="192"/>
      <c r="U540" s="192"/>
      <c r="V540" s="192"/>
      <c r="W540" s="192"/>
      <c r="X540" s="192"/>
      <c r="Y540" s="192"/>
      <c r="Z540" s="192"/>
      <c r="AA540" s="192"/>
      <c r="AB540" s="192"/>
      <c r="AC540" s="192"/>
      <c r="AD540" s="192"/>
      <c r="AE540" s="192"/>
      <c r="AF540" s="192"/>
      <c r="AG540" s="192"/>
      <c r="AH540" s="192"/>
      <c r="AI540" s="192"/>
      <c r="AJ540" s="192"/>
      <c r="AK540" s="192"/>
      <c r="AL540" s="192"/>
      <c r="AM540" s="192"/>
      <c r="AN540" s="192"/>
      <c r="AO540" s="192"/>
      <c r="AP540" s="192"/>
      <c r="AQ540" s="192"/>
      <c r="AR540" s="192"/>
      <c r="AS540" s="192"/>
      <c r="AT540" s="192"/>
      <c r="AU540" s="192"/>
      <c r="AV540" s="192"/>
    </row>
    <row r="541">
      <c r="A541" s="192"/>
      <c r="B541" s="192"/>
      <c r="C541" s="192"/>
      <c r="D541" s="192"/>
      <c r="E541" s="192"/>
      <c r="F541" s="192"/>
      <c r="G541" s="192"/>
      <c r="H541" s="192"/>
      <c r="I541" s="192"/>
      <c r="J541" s="192"/>
      <c r="K541" s="192"/>
      <c r="L541" s="192"/>
      <c r="M541" s="192"/>
      <c r="N541" s="192"/>
      <c r="O541" s="192"/>
      <c r="P541" s="192"/>
      <c r="Q541" s="192"/>
      <c r="R541" s="192"/>
      <c r="S541" s="192"/>
      <c r="T541" s="192"/>
      <c r="U541" s="192"/>
      <c r="V541" s="192"/>
      <c r="W541" s="192"/>
      <c r="X541" s="192"/>
      <c r="Y541" s="192"/>
      <c r="Z541" s="192"/>
      <c r="AA541" s="192"/>
      <c r="AB541" s="192"/>
      <c r="AC541" s="192"/>
      <c r="AD541" s="192"/>
      <c r="AE541" s="192"/>
      <c r="AF541" s="192"/>
      <c r="AG541" s="192"/>
      <c r="AH541" s="192"/>
      <c r="AI541" s="192"/>
      <c r="AJ541" s="192"/>
      <c r="AK541" s="192"/>
      <c r="AL541" s="192"/>
      <c r="AM541" s="192"/>
      <c r="AN541" s="192"/>
      <c r="AO541" s="192"/>
      <c r="AP541" s="192"/>
      <c r="AQ541" s="192"/>
      <c r="AR541" s="192"/>
      <c r="AS541" s="192"/>
      <c r="AT541" s="192"/>
      <c r="AU541" s="192"/>
      <c r="AV541" s="192"/>
    </row>
    <row r="542">
      <c r="A542" s="192"/>
      <c r="B542" s="192"/>
      <c r="C542" s="192"/>
      <c r="D542" s="192"/>
      <c r="E542" s="192"/>
      <c r="F542" s="192"/>
      <c r="G542" s="192"/>
      <c r="H542" s="192"/>
      <c r="I542" s="192"/>
      <c r="J542" s="192"/>
      <c r="K542" s="192"/>
      <c r="L542" s="192"/>
      <c r="M542" s="192"/>
      <c r="N542" s="192"/>
      <c r="O542" s="192"/>
      <c r="P542" s="192"/>
      <c r="Q542" s="192"/>
      <c r="R542" s="192"/>
      <c r="S542" s="192"/>
      <c r="T542" s="192"/>
      <c r="U542" s="192"/>
      <c r="V542" s="192"/>
      <c r="W542" s="192"/>
      <c r="X542" s="192"/>
      <c r="Y542" s="192"/>
      <c r="Z542" s="192"/>
      <c r="AA542" s="192"/>
      <c r="AB542" s="192"/>
      <c r="AC542" s="192"/>
      <c r="AD542" s="192"/>
      <c r="AE542" s="192"/>
      <c r="AF542" s="192"/>
      <c r="AG542" s="192"/>
      <c r="AH542" s="192"/>
      <c r="AI542" s="192"/>
      <c r="AJ542" s="192"/>
      <c r="AK542" s="192"/>
      <c r="AL542" s="192"/>
      <c r="AM542" s="192"/>
      <c r="AN542" s="192"/>
      <c r="AO542" s="192"/>
      <c r="AP542" s="192"/>
      <c r="AQ542" s="192"/>
      <c r="AR542" s="192"/>
      <c r="AS542" s="192"/>
      <c r="AT542" s="192"/>
      <c r="AU542" s="192"/>
      <c r="AV542" s="192"/>
    </row>
    <row r="543">
      <c r="A543" s="192"/>
      <c r="B543" s="192"/>
      <c r="C543" s="192"/>
      <c r="D543" s="192"/>
      <c r="E543" s="192"/>
      <c r="F543" s="192"/>
      <c r="G543" s="192"/>
      <c r="H543" s="192"/>
      <c r="I543" s="192"/>
      <c r="J543" s="192"/>
      <c r="K543" s="192"/>
      <c r="L543" s="192"/>
      <c r="M543" s="192"/>
      <c r="N543" s="192"/>
      <c r="O543" s="192"/>
      <c r="P543" s="192"/>
      <c r="Q543" s="192"/>
      <c r="R543" s="192"/>
      <c r="S543" s="192"/>
      <c r="T543" s="192"/>
      <c r="U543" s="192"/>
      <c r="V543" s="192"/>
      <c r="W543" s="192"/>
      <c r="X543" s="192"/>
      <c r="Y543" s="192"/>
      <c r="Z543" s="192"/>
      <c r="AA543" s="192"/>
      <c r="AB543" s="192"/>
      <c r="AC543" s="192"/>
      <c r="AD543" s="192"/>
      <c r="AE543" s="192"/>
      <c r="AF543" s="192"/>
      <c r="AG543" s="192"/>
      <c r="AH543" s="192"/>
      <c r="AI543" s="192"/>
      <c r="AJ543" s="192"/>
      <c r="AK543" s="192"/>
      <c r="AL543" s="192"/>
      <c r="AM543" s="192"/>
      <c r="AN543" s="192"/>
      <c r="AO543" s="192"/>
      <c r="AP543" s="192"/>
      <c r="AQ543" s="192"/>
      <c r="AR543" s="192"/>
      <c r="AS543" s="192"/>
      <c r="AT543" s="192"/>
      <c r="AU543" s="192"/>
      <c r="AV543" s="192"/>
    </row>
    <row r="544">
      <c r="A544" s="192"/>
      <c r="B544" s="192"/>
      <c r="C544" s="192"/>
      <c r="D544" s="192"/>
      <c r="E544" s="192"/>
      <c r="F544" s="192"/>
      <c r="G544" s="192"/>
      <c r="H544" s="192"/>
      <c r="I544" s="192"/>
      <c r="J544" s="192"/>
      <c r="K544" s="192"/>
      <c r="L544" s="192"/>
      <c r="M544" s="192"/>
      <c r="N544" s="192"/>
      <c r="O544" s="192"/>
      <c r="P544" s="192"/>
      <c r="Q544" s="192"/>
      <c r="R544" s="192"/>
      <c r="S544" s="192"/>
      <c r="T544" s="192"/>
      <c r="U544" s="192"/>
      <c r="V544" s="192"/>
      <c r="W544" s="192"/>
      <c r="X544" s="192"/>
      <c r="Y544" s="192"/>
      <c r="Z544" s="192"/>
      <c r="AA544" s="192"/>
      <c r="AB544" s="192"/>
      <c r="AC544" s="192"/>
      <c r="AD544" s="192"/>
      <c r="AE544" s="192"/>
      <c r="AF544" s="192"/>
      <c r="AG544" s="192"/>
      <c r="AH544" s="192"/>
      <c r="AI544" s="192"/>
      <c r="AJ544" s="192"/>
      <c r="AK544" s="192"/>
      <c r="AL544" s="192"/>
      <c r="AM544" s="192"/>
      <c r="AN544" s="192"/>
      <c r="AO544" s="192"/>
      <c r="AP544" s="192"/>
      <c r="AQ544" s="192"/>
      <c r="AR544" s="192"/>
      <c r="AS544" s="192"/>
      <c r="AT544" s="192"/>
      <c r="AU544" s="192"/>
      <c r="AV544" s="192"/>
    </row>
    <row r="545">
      <c r="A545" s="192"/>
      <c r="B545" s="192"/>
      <c r="C545" s="192"/>
      <c r="D545" s="192"/>
      <c r="E545" s="192"/>
      <c r="F545" s="192"/>
      <c r="G545" s="192"/>
      <c r="H545" s="192"/>
      <c r="I545" s="192"/>
      <c r="J545" s="192"/>
      <c r="K545" s="192"/>
      <c r="L545" s="192"/>
      <c r="M545" s="192"/>
      <c r="N545" s="192"/>
      <c r="O545" s="192"/>
      <c r="P545" s="192"/>
      <c r="Q545" s="192"/>
      <c r="R545" s="192"/>
      <c r="S545" s="192"/>
      <c r="T545" s="192"/>
      <c r="U545" s="192"/>
      <c r="V545" s="192"/>
      <c r="W545" s="192"/>
      <c r="X545" s="192"/>
      <c r="Y545" s="192"/>
      <c r="Z545" s="192"/>
      <c r="AA545" s="192"/>
      <c r="AB545" s="192"/>
      <c r="AC545" s="192"/>
      <c r="AD545" s="192"/>
      <c r="AE545" s="192"/>
      <c r="AF545" s="192"/>
      <c r="AG545" s="192"/>
      <c r="AH545" s="192"/>
      <c r="AI545" s="192"/>
      <c r="AJ545" s="192"/>
      <c r="AK545" s="192"/>
      <c r="AL545" s="192"/>
      <c r="AM545" s="192"/>
      <c r="AN545" s="192"/>
      <c r="AO545" s="192"/>
      <c r="AP545" s="192"/>
      <c r="AQ545" s="192"/>
      <c r="AR545" s="192"/>
      <c r="AS545" s="192"/>
      <c r="AT545" s="192"/>
      <c r="AU545" s="192"/>
      <c r="AV545" s="192"/>
    </row>
    <row r="546">
      <c r="A546" s="192"/>
      <c r="B546" s="192"/>
      <c r="C546" s="192"/>
      <c r="D546" s="192"/>
      <c r="E546" s="192"/>
      <c r="F546" s="192"/>
      <c r="G546" s="192"/>
      <c r="H546" s="192"/>
      <c r="I546" s="192"/>
      <c r="J546" s="192"/>
      <c r="K546" s="192"/>
      <c r="L546" s="192"/>
      <c r="M546" s="192"/>
      <c r="N546" s="192"/>
      <c r="O546" s="192"/>
      <c r="P546" s="192"/>
      <c r="Q546" s="192"/>
      <c r="R546" s="192"/>
      <c r="S546" s="192"/>
      <c r="T546" s="192"/>
      <c r="U546" s="192"/>
      <c r="V546" s="192"/>
      <c r="W546" s="192"/>
      <c r="X546" s="192"/>
      <c r="Y546" s="192"/>
      <c r="Z546" s="192"/>
      <c r="AA546" s="192"/>
      <c r="AB546" s="192"/>
      <c r="AC546" s="192"/>
      <c r="AD546" s="192"/>
      <c r="AE546" s="192"/>
      <c r="AF546" s="192"/>
      <c r="AG546" s="192"/>
      <c r="AH546" s="192"/>
      <c r="AI546" s="192"/>
      <c r="AJ546" s="192"/>
      <c r="AK546" s="192"/>
      <c r="AL546" s="192"/>
      <c r="AM546" s="192"/>
      <c r="AN546" s="192"/>
      <c r="AO546" s="192"/>
      <c r="AP546" s="192"/>
      <c r="AQ546" s="192"/>
      <c r="AR546" s="192"/>
      <c r="AS546" s="192"/>
      <c r="AT546" s="192"/>
      <c r="AU546" s="192"/>
      <c r="AV546" s="192"/>
    </row>
    <row r="547">
      <c r="A547" s="192"/>
      <c r="B547" s="192"/>
      <c r="C547" s="192"/>
      <c r="D547" s="192"/>
      <c r="E547" s="192"/>
      <c r="F547" s="192"/>
      <c r="G547" s="192"/>
      <c r="H547" s="192"/>
      <c r="I547" s="192"/>
      <c r="J547" s="192"/>
      <c r="K547" s="192"/>
      <c r="L547" s="192"/>
      <c r="M547" s="192"/>
      <c r="N547" s="192"/>
      <c r="O547" s="192"/>
      <c r="P547" s="192"/>
      <c r="Q547" s="192"/>
      <c r="R547" s="192"/>
      <c r="S547" s="192"/>
      <c r="T547" s="192"/>
      <c r="U547" s="192"/>
      <c r="V547" s="192"/>
      <c r="W547" s="192"/>
      <c r="X547" s="192"/>
      <c r="Y547" s="192"/>
      <c r="Z547" s="192"/>
      <c r="AA547" s="192"/>
      <c r="AB547" s="192"/>
      <c r="AC547" s="192"/>
      <c r="AD547" s="192"/>
      <c r="AE547" s="192"/>
      <c r="AF547" s="192"/>
      <c r="AG547" s="192"/>
      <c r="AH547" s="192"/>
      <c r="AI547" s="192"/>
      <c r="AJ547" s="192"/>
      <c r="AK547" s="192"/>
      <c r="AL547" s="192"/>
      <c r="AM547" s="192"/>
      <c r="AN547" s="192"/>
      <c r="AO547" s="192"/>
      <c r="AP547" s="192"/>
      <c r="AQ547" s="192"/>
      <c r="AR547" s="192"/>
      <c r="AS547" s="192"/>
      <c r="AT547" s="192"/>
      <c r="AU547" s="192"/>
      <c r="AV547" s="192"/>
    </row>
    <row r="548">
      <c r="A548" s="192"/>
      <c r="B548" s="192"/>
      <c r="C548" s="192"/>
      <c r="D548" s="192"/>
      <c r="E548" s="192"/>
      <c r="F548" s="192"/>
      <c r="G548" s="192"/>
      <c r="H548" s="192"/>
      <c r="I548" s="192"/>
      <c r="J548" s="192"/>
      <c r="K548" s="192"/>
      <c r="L548" s="192"/>
      <c r="M548" s="192"/>
      <c r="N548" s="192"/>
      <c r="O548" s="192"/>
      <c r="P548" s="192"/>
      <c r="Q548" s="192"/>
      <c r="R548" s="192"/>
      <c r="S548" s="192"/>
      <c r="T548" s="192"/>
      <c r="U548" s="192"/>
      <c r="V548" s="192"/>
      <c r="W548" s="192"/>
      <c r="X548" s="192"/>
      <c r="Y548" s="192"/>
      <c r="Z548" s="192"/>
      <c r="AA548" s="192"/>
      <c r="AB548" s="192"/>
      <c r="AC548" s="192"/>
      <c r="AD548" s="192"/>
      <c r="AE548" s="192"/>
      <c r="AF548" s="192"/>
      <c r="AG548" s="192"/>
      <c r="AH548" s="192"/>
      <c r="AI548" s="192"/>
      <c r="AJ548" s="192"/>
      <c r="AK548" s="192"/>
      <c r="AL548" s="192"/>
      <c r="AM548" s="192"/>
      <c r="AN548" s="192"/>
      <c r="AO548" s="192"/>
      <c r="AP548" s="192"/>
      <c r="AQ548" s="192"/>
      <c r="AR548" s="192"/>
      <c r="AS548" s="192"/>
      <c r="AT548" s="192"/>
      <c r="AU548" s="192"/>
      <c r="AV548" s="192"/>
    </row>
    <row r="549">
      <c r="A549" s="192"/>
      <c r="B549" s="192"/>
      <c r="C549" s="192"/>
      <c r="D549" s="192"/>
      <c r="E549" s="192"/>
      <c r="F549" s="192"/>
      <c r="G549" s="192"/>
      <c r="H549" s="192"/>
      <c r="I549" s="192"/>
      <c r="J549" s="192"/>
      <c r="K549" s="192"/>
      <c r="L549" s="192"/>
      <c r="M549" s="192"/>
      <c r="N549" s="192"/>
      <c r="O549" s="192"/>
      <c r="P549" s="192"/>
      <c r="Q549" s="192"/>
      <c r="R549" s="192"/>
      <c r="S549" s="192"/>
      <c r="T549" s="192"/>
      <c r="U549" s="192"/>
      <c r="V549" s="192"/>
      <c r="W549" s="192"/>
      <c r="X549" s="192"/>
      <c r="Y549" s="192"/>
      <c r="Z549" s="192"/>
      <c r="AA549" s="192"/>
      <c r="AB549" s="192"/>
      <c r="AC549" s="192"/>
      <c r="AD549" s="192"/>
      <c r="AE549" s="192"/>
      <c r="AF549" s="192"/>
      <c r="AG549" s="192"/>
      <c r="AH549" s="192"/>
      <c r="AI549" s="192"/>
      <c r="AJ549" s="192"/>
      <c r="AK549" s="192"/>
      <c r="AL549" s="192"/>
      <c r="AM549" s="192"/>
      <c r="AN549" s="192"/>
      <c r="AO549" s="192"/>
      <c r="AP549" s="192"/>
      <c r="AQ549" s="192"/>
      <c r="AR549" s="192"/>
      <c r="AS549" s="192"/>
      <c r="AT549" s="192"/>
      <c r="AU549" s="192"/>
      <c r="AV549" s="192"/>
    </row>
    <row r="550">
      <c r="A550" s="192"/>
      <c r="B550" s="192"/>
      <c r="C550" s="192"/>
      <c r="D550" s="192"/>
      <c r="E550" s="192"/>
      <c r="F550" s="192"/>
      <c r="G550" s="192"/>
      <c r="H550" s="192"/>
      <c r="I550" s="192"/>
      <c r="J550" s="192"/>
      <c r="K550" s="192"/>
      <c r="L550" s="192"/>
      <c r="M550" s="192"/>
      <c r="N550" s="192"/>
      <c r="O550" s="192"/>
      <c r="P550" s="192"/>
      <c r="Q550" s="192"/>
      <c r="R550" s="192"/>
      <c r="S550" s="192"/>
      <c r="T550" s="192"/>
      <c r="U550" s="192"/>
      <c r="V550" s="192"/>
      <c r="W550" s="192"/>
      <c r="X550" s="192"/>
      <c r="Y550" s="192"/>
      <c r="Z550" s="192"/>
      <c r="AA550" s="192"/>
      <c r="AB550" s="192"/>
      <c r="AC550" s="192"/>
      <c r="AD550" s="192"/>
      <c r="AE550" s="192"/>
      <c r="AF550" s="192"/>
      <c r="AG550" s="192"/>
      <c r="AH550" s="192"/>
      <c r="AI550" s="192"/>
      <c r="AJ550" s="192"/>
      <c r="AK550" s="192"/>
      <c r="AL550" s="192"/>
      <c r="AM550" s="192"/>
      <c r="AN550" s="192"/>
      <c r="AO550" s="192"/>
      <c r="AP550" s="192"/>
      <c r="AQ550" s="192"/>
      <c r="AR550" s="192"/>
      <c r="AS550" s="192"/>
      <c r="AT550" s="192"/>
      <c r="AU550" s="192"/>
      <c r="AV550" s="192"/>
    </row>
    <row r="551">
      <c r="A551" s="192"/>
      <c r="B551" s="192"/>
      <c r="C551" s="192"/>
      <c r="D551" s="192"/>
      <c r="E551" s="192"/>
      <c r="F551" s="192"/>
      <c r="G551" s="192"/>
      <c r="H551" s="192"/>
      <c r="I551" s="192"/>
      <c r="J551" s="192"/>
      <c r="K551" s="192"/>
      <c r="L551" s="192"/>
      <c r="M551" s="192"/>
      <c r="N551" s="192"/>
      <c r="O551" s="192"/>
      <c r="P551" s="192"/>
      <c r="Q551" s="192"/>
      <c r="R551" s="192"/>
      <c r="S551" s="192"/>
      <c r="T551" s="192"/>
      <c r="U551" s="192"/>
      <c r="V551" s="192"/>
      <c r="W551" s="192"/>
      <c r="X551" s="192"/>
      <c r="Y551" s="192"/>
      <c r="Z551" s="192"/>
      <c r="AA551" s="192"/>
      <c r="AB551" s="192"/>
      <c r="AC551" s="192"/>
      <c r="AD551" s="192"/>
      <c r="AE551" s="192"/>
      <c r="AF551" s="192"/>
      <c r="AG551" s="192"/>
      <c r="AH551" s="192"/>
      <c r="AI551" s="192"/>
      <c r="AJ551" s="192"/>
      <c r="AK551" s="192"/>
      <c r="AL551" s="192"/>
      <c r="AM551" s="192"/>
      <c r="AN551" s="192"/>
      <c r="AO551" s="192"/>
      <c r="AP551" s="192"/>
      <c r="AQ551" s="192"/>
      <c r="AR551" s="192"/>
      <c r="AS551" s="192"/>
      <c r="AT551" s="192"/>
      <c r="AU551" s="192"/>
      <c r="AV551" s="192"/>
    </row>
    <row r="552">
      <c r="A552" s="192"/>
      <c r="B552" s="192"/>
      <c r="C552" s="192"/>
      <c r="D552" s="192"/>
      <c r="E552" s="192"/>
      <c r="F552" s="192"/>
      <c r="G552" s="192"/>
      <c r="H552" s="192"/>
      <c r="I552" s="192"/>
      <c r="J552" s="192"/>
      <c r="K552" s="192"/>
      <c r="L552" s="192"/>
      <c r="M552" s="192"/>
      <c r="N552" s="192"/>
      <c r="O552" s="192"/>
      <c r="P552" s="192"/>
      <c r="Q552" s="192"/>
      <c r="R552" s="192"/>
      <c r="S552" s="192"/>
      <c r="T552" s="192"/>
      <c r="U552" s="192"/>
      <c r="V552" s="192"/>
      <c r="W552" s="192"/>
      <c r="X552" s="192"/>
      <c r="Y552" s="192"/>
      <c r="Z552" s="192"/>
      <c r="AA552" s="192"/>
      <c r="AB552" s="192"/>
      <c r="AC552" s="192"/>
      <c r="AD552" s="192"/>
      <c r="AE552" s="192"/>
      <c r="AF552" s="192"/>
      <c r="AG552" s="192"/>
      <c r="AH552" s="192"/>
      <c r="AI552" s="192"/>
      <c r="AJ552" s="192"/>
      <c r="AK552" s="192"/>
      <c r="AL552" s="192"/>
      <c r="AM552" s="192"/>
      <c r="AN552" s="192"/>
      <c r="AO552" s="192"/>
      <c r="AP552" s="192"/>
      <c r="AQ552" s="192"/>
      <c r="AR552" s="192"/>
      <c r="AS552" s="192"/>
      <c r="AT552" s="192"/>
      <c r="AU552" s="192"/>
      <c r="AV552" s="192"/>
    </row>
    <row r="553">
      <c r="A553" s="192"/>
      <c r="B553" s="192"/>
      <c r="C553" s="192"/>
      <c r="D553" s="192"/>
      <c r="E553" s="192"/>
      <c r="F553" s="192"/>
      <c r="G553" s="192"/>
      <c r="H553" s="192"/>
      <c r="I553" s="192"/>
      <c r="J553" s="192"/>
      <c r="K553" s="192"/>
      <c r="L553" s="192"/>
      <c r="M553" s="192"/>
      <c r="N553" s="192"/>
      <c r="O553" s="192"/>
      <c r="P553" s="192"/>
      <c r="Q553" s="192"/>
      <c r="R553" s="192"/>
      <c r="S553" s="192"/>
      <c r="T553" s="192"/>
      <c r="U553" s="192"/>
      <c r="V553" s="192"/>
      <c r="W553" s="192"/>
      <c r="X553" s="192"/>
      <c r="Y553" s="192"/>
      <c r="Z553" s="192"/>
      <c r="AA553" s="192"/>
      <c r="AB553" s="192"/>
      <c r="AC553" s="192"/>
      <c r="AD553" s="192"/>
      <c r="AE553" s="192"/>
      <c r="AF553" s="192"/>
      <c r="AG553" s="192"/>
      <c r="AH553" s="192"/>
      <c r="AI553" s="192"/>
      <c r="AJ553" s="192"/>
      <c r="AK553" s="192"/>
      <c r="AL553" s="192"/>
      <c r="AM553" s="192"/>
      <c r="AN553" s="192"/>
      <c r="AO553" s="192"/>
      <c r="AP553" s="192"/>
      <c r="AQ553" s="192"/>
      <c r="AR553" s="192"/>
      <c r="AS553" s="192"/>
      <c r="AT553" s="192"/>
      <c r="AU553" s="192"/>
      <c r="AV553" s="192"/>
    </row>
    <row r="554">
      <c r="A554" s="192"/>
      <c r="B554" s="192"/>
      <c r="C554" s="192"/>
      <c r="D554" s="192"/>
      <c r="E554" s="192"/>
      <c r="F554" s="192"/>
      <c r="G554" s="192"/>
      <c r="H554" s="192"/>
      <c r="I554" s="192"/>
      <c r="J554" s="192"/>
      <c r="K554" s="192"/>
      <c r="L554" s="192"/>
      <c r="M554" s="192"/>
      <c r="N554" s="192"/>
      <c r="O554" s="192"/>
      <c r="P554" s="192"/>
      <c r="Q554" s="192"/>
      <c r="R554" s="192"/>
      <c r="S554" s="192"/>
      <c r="T554" s="192"/>
      <c r="U554" s="192"/>
      <c r="V554" s="192"/>
      <c r="W554" s="192"/>
      <c r="X554" s="192"/>
      <c r="Y554" s="192"/>
      <c r="Z554" s="192"/>
      <c r="AA554" s="192"/>
      <c r="AB554" s="192"/>
      <c r="AC554" s="192"/>
      <c r="AD554" s="192"/>
      <c r="AE554" s="192"/>
      <c r="AF554" s="192"/>
      <c r="AG554" s="192"/>
      <c r="AH554" s="192"/>
      <c r="AI554" s="192"/>
      <c r="AJ554" s="192"/>
      <c r="AK554" s="192"/>
      <c r="AL554" s="192"/>
      <c r="AM554" s="192"/>
      <c r="AN554" s="192"/>
      <c r="AO554" s="192"/>
      <c r="AP554" s="192"/>
      <c r="AQ554" s="192"/>
      <c r="AR554" s="192"/>
      <c r="AS554" s="192"/>
      <c r="AT554" s="192"/>
      <c r="AU554" s="192"/>
      <c r="AV554" s="192"/>
    </row>
    <row r="555">
      <c r="A555" s="192"/>
      <c r="B555" s="192"/>
      <c r="C555" s="192"/>
      <c r="D555" s="192"/>
      <c r="E555" s="192"/>
      <c r="F555" s="192"/>
      <c r="G555" s="192"/>
      <c r="H555" s="192"/>
      <c r="I555" s="192"/>
      <c r="J555" s="192"/>
      <c r="K555" s="192"/>
      <c r="L555" s="192"/>
      <c r="M555" s="192"/>
      <c r="N555" s="192"/>
      <c r="O555" s="192"/>
      <c r="P555" s="192"/>
      <c r="Q555" s="192"/>
      <c r="R555" s="192"/>
      <c r="S555" s="192"/>
      <c r="T555" s="192"/>
      <c r="U555" s="192"/>
      <c r="V555" s="192"/>
      <c r="W555" s="192"/>
      <c r="X555" s="192"/>
      <c r="Y555" s="192"/>
      <c r="Z555" s="192"/>
      <c r="AA555" s="192"/>
      <c r="AB555" s="192"/>
      <c r="AC555" s="192"/>
      <c r="AD555" s="192"/>
      <c r="AE555" s="192"/>
      <c r="AF555" s="192"/>
      <c r="AG555" s="192"/>
      <c r="AH555" s="192"/>
      <c r="AI555" s="192"/>
      <c r="AJ555" s="192"/>
      <c r="AK555" s="192"/>
      <c r="AL555" s="192"/>
      <c r="AM555" s="192"/>
      <c r="AN555" s="192"/>
      <c r="AO555" s="192"/>
      <c r="AP555" s="192"/>
      <c r="AQ555" s="192"/>
      <c r="AR555" s="192"/>
      <c r="AS555" s="192"/>
      <c r="AT555" s="192"/>
      <c r="AU555" s="192"/>
      <c r="AV555" s="192"/>
    </row>
    <row r="556">
      <c r="A556" s="192"/>
      <c r="B556" s="192"/>
      <c r="C556" s="192"/>
      <c r="D556" s="192"/>
      <c r="E556" s="192"/>
      <c r="F556" s="192"/>
      <c r="G556" s="192"/>
      <c r="H556" s="192"/>
      <c r="I556" s="192"/>
      <c r="J556" s="192"/>
      <c r="K556" s="192"/>
      <c r="L556" s="192"/>
      <c r="M556" s="192"/>
      <c r="N556" s="192"/>
      <c r="O556" s="192"/>
      <c r="P556" s="192"/>
      <c r="Q556" s="192"/>
      <c r="R556" s="192"/>
      <c r="S556" s="192"/>
      <c r="T556" s="192"/>
      <c r="U556" s="192"/>
      <c r="V556" s="192"/>
      <c r="W556" s="192"/>
      <c r="X556" s="192"/>
      <c r="Y556" s="192"/>
      <c r="Z556" s="192"/>
      <c r="AA556" s="192"/>
      <c r="AB556" s="192"/>
      <c r="AC556" s="192"/>
      <c r="AD556" s="192"/>
      <c r="AE556" s="192"/>
      <c r="AF556" s="192"/>
      <c r="AG556" s="192"/>
      <c r="AH556" s="192"/>
      <c r="AI556" s="192"/>
      <c r="AJ556" s="192"/>
      <c r="AK556" s="192"/>
      <c r="AL556" s="192"/>
      <c r="AM556" s="192"/>
      <c r="AN556" s="192"/>
      <c r="AO556" s="192"/>
      <c r="AP556" s="192"/>
      <c r="AQ556" s="192"/>
      <c r="AR556" s="192"/>
      <c r="AS556" s="192"/>
      <c r="AT556" s="192"/>
      <c r="AU556" s="192"/>
      <c r="AV556" s="192"/>
    </row>
    <row r="557">
      <c r="A557" s="192"/>
      <c r="B557" s="192"/>
      <c r="C557" s="192"/>
      <c r="D557" s="192"/>
      <c r="E557" s="192"/>
      <c r="F557" s="192"/>
      <c r="G557" s="192"/>
      <c r="H557" s="192"/>
      <c r="I557" s="192"/>
      <c r="J557" s="192"/>
      <c r="K557" s="192"/>
      <c r="L557" s="192"/>
      <c r="M557" s="192"/>
      <c r="N557" s="192"/>
      <c r="O557" s="192"/>
      <c r="P557" s="192"/>
      <c r="Q557" s="192"/>
      <c r="R557" s="192"/>
      <c r="S557" s="192"/>
      <c r="T557" s="192"/>
      <c r="U557" s="192"/>
      <c r="V557" s="192"/>
      <c r="W557" s="192"/>
      <c r="X557" s="192"/>
      <c r="Y557" s="192"/>
      <c r="Z557" s="192"/>
      <c r="AA557" s="192"/>
      <c r="AB557" s="192"/>
      <c r="AC557" s="192"/>
      <c r="AD557" s="192"/>
      <c r="AE557" s="192"/>
      <c r="AF557" s="192"/>
      <c r="AG557" s="192"/>
      <c r="AH557" s="192"/>
      <c r="AI557" s="192"/>
      <c r="AJ557" s="192"/>
      <c r="AK557" s="192"/>
      <c r="AL557" s="192"/>
      <c r="AM557" s="192"/>
      <c r="AN557" s="192"/>
      <c r="AO557" s="192"/>
      <c r="AP557" s="192"/>
      <c r="AQ557" s="192"/>
      <c r="AR557" s="192"/>
      <c r="AS557" s="192"/>
      <c r="AT557" s="192"/>
      <c r="AU557" s="192"/>
      <c r="AV557" s="192"/>
    </row>
    <row r="558">
      <c r="A558" s="192"/>
      <c r="B558" s="192"/>
      <c r="C558" s="192"/>
      <c r="D558" s="192"/>
      <c r="E558" s="192"/>
      <c r="F558" s="192"/>
      <c r="G558" s="192"/>
      <c r="H558" s="192"/>
      <c r="I558" s="192"/>
      <c r="J558" s="192"/>
      <c r="K558" s="192"/>
      <c r="L558" s="192"/>
      <c r="M558" s="192"/>
      <c r="N558" s="192"/>
      <c r="O558" s="192"/>
      <c r="P558" s="192"/>
      <c r="Q558" s="192"/>
      <c r="R558" s="192"/>
      <c r="S558" s="192"/>
      <c r="T558" s="192"/>
      <c r="U558" s="192"/>
      <c r="V558" s="192"/>
      <c r="W558" s="192"/>
      <c r="X558" s="192"/>
      <c r="Y558" s="192"/>
      <c r="Z558" s="192"/>
      <c r="AA558" s="192"/>
      <c r="AB558" s="192"/>
      <c r="AC558" s="192"/>
      <c r="AD558" s="192"/>
      <c r="AE558" s="192"/>
      <c r="AF558" s="192"/>
      <c r="AG558" s="192"/>
      <c r="AH558" s="192"/>
      <c r="AI558" s="192"/>
      <c r="AJ558" s="192"/>
      <c r="AK558" s="192"/>
      <c r="AL558" s="192"/>
      <c r="AM558" s="192"/>
      <c r="AN558" s="192"/>
      <c r="AO558" s="192"/>
      <c r="AP558" s="192"/>
      <c r="AQ558" s="192"/>
      <c r="AR558" s="192"/>
      <c r="AS558" s="192"/>
      <c r="AT558" s="192"/>
      <c r="AU558" s="192"/>
      <c r="AV558" s="192"/>
    </row>
    <row r="559">
      <c r="A559" s="192"/>
      <c r="B559" s="192"/>
      <c r="C559" s="192"/>
      <c r="D559" s="192"/>
      <c r="E559" s="192"/>
      <c r="F559" s="192"/>
      <c r="G559" s="192"/>
      <c r="H559" s="192"/>
      <c r="I559" s="192"/>
      <c r="J559" s="192"/>
      <c r="K559" s="192"/>
      <c r="L559" s="192"/>
      <c r="M559" s="192"/>
      <c r="N559" s="192"/>
      <c r="O559" s="192"/>
      <c r="P559" s="192"/>
      <c r="Q559" s="192"/>
      <c r="R559" s="192"/>
      <c r="S559" s="192"/>
      <c r="T559" s="192"/>
      <c r="U559" s="192"/>
      <c r="V559" s="192"/>
      <c r="W559" s="192"/>
      <c r="X559" s="192"/>
      <c r="Y559" s="192"/>
      <c r="Z559" s="192"/>
      <c r="AA559" s="192"/>
      <c r="AB559" s="192"/>
      <c r="AC559" s="192"/>
      <c r="AD559" s="192"/>
      <c r="AE559" s="192"/>
      <c r="AF559" s="192"/>
      <c r="AG559" s="192"/>
      <c r="AH559" s="192"/>
      <c r="AI559" s="192"/>
      <c r="AJ559" s="192"/>
      <c r="AK559" s="192"/>
      <c r="AL559" s="192"/>
      <c r="AM559" s="192"/>
      <c r="AN559" s="192"/>
      <c r="AO559" s="192"/>
      <c r="AP559" s="192"/>
      <c r="AQ559" s="192"/>
      <c r="AR559" s="192"/>
      <c r="AS559" s="192"/>
      <c r="AT559" s="192"/>
      <c r="AU559" s="192"/>
      <c r="AV559" s="192"/>
    </row>
    <row r="560">
      <c r="A560" s="192"/>
      <c r="B560" s="192"/>
      <c r="C560" s="192"/>
      <c r="D560" s="192"/>
      <c r="E560" s="192"/>
      <c r="F560" s="192"/>
      <c r="G560" s="192"/>
      <c r="H560" s="192"/>
      <c r="I560" s="192"/>
      <c r="J560" s="192"/>
      <c r="K560" s="192"/>
      <c r="L560" s="192"/>
      <c r="M560" s="192"/>
      <c r="N560" s="192"/>
      <c r="O560" s="192"/>
      <c r="P560" s="192"/>
      <c r="Q560" s="192"/>
      <c r="R560" s="192"/>
      <c r="S560" s="192"/>
      <c r="T560" s="192"/>
      <c r="U560" s="192"/>
      <c r="V560" s="192"/>
      <c r="W560" s="192"/>
      <c r="X560" s="192"/>
      <c r="Y560" s="192"/>
      <c r="Z560" s="192"/>
      <c r="AA560" s="192"/>
      <c r="AB560" s="192"/>
      <c r="AC560" s="192"/>
      <c r="AD560" s="192"/>
      <c r="AE560" s="192"/>
      <c r="AF560" s="192"/>
      <c r="AG560" s="192"/>
      <c r="AH560" s="192"/>
      <c r="AI560" s="192"/>
      <c r="AJ560" s="192"/>
      <c r="AK560" s="192"/>
      <c r="AL560" s="192"/>
      <c r="AM560" s="192"/>
      <c r="AN560" s="192"/>
      <c r="AO560" s="192"/>
      <c r="AP560" s="192"/>
      <c r="AQ560" s="192"/>
      <c r="AR560" s="192"/>
      <c r="AS560" s="192"/>
      <c r="AT560" s="192"/>
      <c r="AU560" s="192"/>
      <c r="AV560" s="192"/>
    </row>
    <row r="561">
      <c r="A561" s="192"/>
      <c r="B561" s="192"/>
      <c r="C561" s="192"/>
      <c r="D561" s="192"/>
      <c r="E561" s="192"/>
      <c r="F561" s="192"/>
      <c r="G561" s="192"/>
      <c r="H561" s="192"/>
      <c r="I561" s="192"/>
      <c r="J561" s="192"/>
      <c r="K561" s="192"/>
      <c r="L561" s="192"/>
      <c r="M561" s="192"/>
      <c r="N561" s="192"/>
      <c r="O561" s="192"/>
      <c r="P561" s="192"/>
      <c r="Q561" s="192"/>
      <c r="R561" s="192"/>
      <c r="S561" s="192"/>
      <c r="T561" s="192"/>
      <c r="U561" s="192"/>
      <c r="V561" s="192"/>
      <c r="W561" s="192"/>
      <c r="X561" s="192"/>
      <c r="Y561" s="192"/>
      <c r="Z561" s="192"/>
      <c r="AA561" s="192"/>
      <c r="AB561" s="192"/>
      <c r="AC561" s="192"/>
      <c r="AD561" s="192"/>
      <c r="AE561" s="192"/>
      <c r="AF561" s="192"/>
      <c r="AG561" s="192"/>
      <c r="AH561" s="192"/>
      <c r="AI561" s="192"/>
      <c r="AJ561" s="192"/>
      <c r="AK561" s="192"/>
      <c r="AL561" s="192"/>
      <c r="AM561" s="192"/>
      <c r="AN561" s="192"/>
      <c r="AO561" s="192"/>
      <c r="AP561" s="192"/>
      <c r="AQ561" s="192"/>
      <c r="AR561" s="192"/>
      <c r="AS561" s="192"/>
      <c r="AT561" s="192"/>
      <c r="AU561" s="192"/>
      <c r="AV561" s="192"/>
    </row>
    <row r="562">
      <c r="A562" s="192"/>
      <c r="B562" s="192"/>
      <c r="C562" s="192"/>
      <c r="D562" s="192"/>
      <c r="E562" s="192"/>
      <c r="F562" s="192"/>
      <c r="G562" s="192"/>
      <c r="H562" s="192"/>
      <c r="I562" s="192"/>
      <c r="J562" s="192"/>
      <c r="K562" s="192"/>
      <c r="L562" s="192"/>
      <c r="M562" s="192"/>
      <c r="N562" s="192"/>
      <c r="O562" s="192"/>
      <c r="P562" s="192"/>
      <c r="Q562" s="192"/>
      <c r="R562" s="192"/>
      <c r="S562" s="192"/>
      <c r="T562" s="192"/>
      <c r="U562" s="192"/>
      <c r="V562" s="192"/>
      <c r="W562" s="192"/>
      <c r="X562" s="192"/>
      <c r="Y562" s="192"/>
      <c r="Z562" s="192"/>
      <c r="AA562" s="192"/>
      <c r="AB562" s="192"/>
      <c r="AC562" s="192"/>
      <c r="AD562" s="192"/>
      <c r="AE562" s="192"/>
      <c r="AF562" s="192"/>
      <c r="AG562" s="192"/>
      <c r="AH562" s="192"/>
      <c r="AI562" s="192"/>
      <c r="AJ562" s="192"/>
      <c r="AK562" s="192"/>
      <c r="AL562" s="192"/>
      <c r="AM562" s="192"/>
      <c r="AN562" s="192"/>
      <c r="AO562" s="192"/>
      <c r="AP562" s="192"/>
      <c r="AQ562" s="192"/>
      <c r="AR562" s="192"/>
      <c r="AS562" s="192"/>
      <c r="AT562" s="192"/>
      <c r="AU562" s="192"/>
      <c r="AV562" s="192"/>
    </row>
    <row r="563">
      <c r="A563" s="192"/>
      <c r="B563" s="192"/>
      <c r="C563" s="192"/>
      <c r="D563" s="192"/>
      <c r="E563" s="192"/>
      <c r="F563" s="192"/>
      <c r="G563" s="192"/>
      <c r="H563" s="192"/>
      <c r="I563" s="192"/>
      <c r="J563" s="192"/>
      <c r="K563" s="192"/>
      <c r="L563" s="192"/>
      <c r="M563" s="192"/>
      <c r="N563" s="192"/>
      <c r="O563" s="192"/>
      <c r="P563" s="192"/>
      <c r="Q563" s="192"/>
      <c r="R563" s="192"/>
      <c r="S563" s="192"/>
      <c r="T563" s="192"/>
      <c r="U563" s="192"/>
      <c r="V563" s="192"/>
      <c r="W563" s="192"/>
      <c r="X563" s="192"/>
      <c r="Y563" s="192"/>
      <c r="Z563" s="192"/>
      <c r="AA563" s="192"/>
      <c r="AB563" s="192"/>
      <c r="AC563" s="192"/>
      <c r="AD563" s="192"/>
      <c r="AE563" s="192"/>
      <c r="AF563" s="192"/>
      <c r="AG563" s="192"/>
      <c r="AH563" s="192"/>
      <c r="AI563" s="192"/>
      <c r="AJ563" s="192"/>
      <c r="AK563" s="192"/>
      <c r="AL563" s="192"/>
      <c r="AM563" s="192"/>
      <c r="AN563" s="192"/>
      <c r="AO563" s="192"/>
      <c r="AP563" s="192"/>
      <c r="AQ563" s="192"/>
      <c r="AR563" s="192"/>
      <c r="AS563" s="192"/>
      <c r="AT563" s="192"/>
      <c r="AU563" s="192"/>
      <c r="AV563" s="192"/>
    </row>
    <row r="564">
      <c r="A564" s="192"/>
      <c r="B564" s="192"/>
      <c r="C564" s="192"/>
      <c r="D564" s="192"/>
      <c r="E564" s="192"/>
      <c r="F564" s="192"/>
      <c r="G564" s="192"/>
      <c r="H564" s="192"/>
      <c r="I564" s="192"/>
      <c r="J564" s="192"/>
      <c r="K564" s="192"/>
      <c r="L564" s="192"/>
      <c r="M564" s="192"/>
      <c r="N564" s="192"/>
      <c r="O564" s="192"/>
      <c r="P564" s="192"/>
      <c r="Q564" s="192"/>
      <c r="R564" s="192"/>
      <c r="S564" s="192"/>
      <c r="T564" s="192"/>
      <c r="U564" s="192"/>
      <c r="V564" s="192"/>
      <c r="W564" s="192"/>
      <c r="X564" s="192"/>
      <c r="Y564" s="192"/>
      <c r="Z564" s="192"/>
      <c r="AA564" s="192"/>
      <c r="AB564" s="192"/>
      <c r="AC564" s="192"/>
      <c r="AD564" s="192"/>
      <c r="AE564" s="192"/>
      <c r="AF564" s="192"/>
      <c r="AG564" s="192"/>
      <c r="AH564" s="192"/>
      <c r="AI564" s="192"/>
      <c r="AJ564" s="192"/>
      <c r="AK564" s="192"/>
      <c r="AL564" s="192"/>
      <c r="AM564" s="192"/>
      <c r="AN564" s="192"/>
      <c r="AO564" s="192"/>
      <c r="AP564" s="192"/>
      <c r="AQ564" s="192"/>
      <c r="AR564" s="192"/>
      <c r="AS564" s="192"/>
      <c r="AT564" s="192"/>
      <c r="AU564" s="192"/>
      <c r="AV564" s="192"/>
    </row>
    <row r="565">
      <c r="A565" s="192"/>
      <c r="B565" s="192"/>
      <c r="C565" s="192"/>
      <c r="D565" s="192"/>
      <c r="E565" s="192"/>
      <c r="F565" s="192"/>
      <c r="G565" s="192"/>
      <c r="H565" s="192"/>
      <c r="I565" s="192"/>
      <c r="J565" s="192"/>
      <c r="K565" s="192"/>
      <c r="L565" s="192"/>
      <c r="M565" s="192"/>
      <c r="N565" s="192"/>
      <c r="O565" s="192"/>
      <c r="P565" s="192"/>
      <c r="Q565" s="192"/>
      <c r="R565" s="192"/>
      <c r="S565" s="192"/>
      <c r="T565" s="192"/>
      <c r="U565" s="192"/>
      <c r="V565" s="192"/>
      <c r="W565" s="192"/>
      <c r="X565" s="192"/>
      <c r="Y565" s="192"/>
      <c r="Z565" s="192"/>
      <c r="AA565" s="192"/>
      <c r="AB565" s="192"/>
      <c r="AC565" s="192"/>
      <c r="AD565" s="192"/>
      <c r="AE565" s="192"/>
      <c r="AF565" s="192"/>
      <c r="AG565" s="192"/>
      <c r="AH565" s="192"/>
      <c r="AI565" s="192"/>
      <c r="AJ565" s="192"/>
      <c r="AK565" s="192"/>
      <c r="AL565" s="192"/>
      <c r="AM565" s="192"/>
      <c r="AN565" s="192"/>
      <c r="AO565" s="192"/>
      <c r="AP565" s="192"/>
      <c r="AQ565" s="192"/>
      <c r="AR565" s="192"/>
      <c r="AS565" s="192"/>
      <c r="AT565" s="192"/>
      <c r="AU565" s="192"/>
      <c r="AV565" s="192"/>
    </row>
    <row r="566">
      <c r="A566" s="192"/>
      <c r="B566" s="192"/>
      <c r="C566" s="192"/>
      <c r="D566" s="192"/>
      <c r="E566" s="192"/>
      <c r="F566" s="192"/>
      <c r="G566" s="192"/>
      <c r="H566" s="192"/>
      <c r="I566" s="192"/>
      <c r="J566" s="192"/>
      <c r="K566" s="192"/>
      <c r="L566" s="192"/>
      <c r="M566" s="192"/>
      <c r="N566" s="192"/>
      <c r="O566" s="192"/>
      <c r="P566" s="192"/>
      <c r="Q566" s="192"/>
      <c r="R566" s="192"/>
      <c r="S566" s="192"/>
      <c r="T566" s="192"/>
      <c r="U566" s="192"/>
      <c r="V566" s="192"/>
      <c r="W566" s="192"/>
      <c r="X566" s="192"/>
      <c r="Y566" s="192"/>
      <c r="Z566" s="192"/>
      <c r="AA566" s="192"/>
      <c r="AB566" s="192"/>
      <c r="AC566" s="192"/>
      <c r="AD566" s="192"/>
      <c r="AE566" s="192"/>
      <c r="AF566" s="192"/>
      <c r="AG566" s="192"/>
      <c r="AH566" s="192"/>
      <c r="AI566" s="192"/>
      <c r="AJ566" s="192"/>
      <c r="AK566" s="192"/>
      <c r="AL566" s="192"/>
      <c r="AM566" s="192"/>
      <c r="AN566" s="192"/>
      <c r="AO566" s="192"/>
      <c r="AP566" s="192"/>
      <c r="AQ566" s="192"/>
      <c r="AR566" s="192"/>
      <c r="AS566" s="192"/>
      <c r="AT566" s="192"/>
      <c r="AU566" s="192"/>
      <c r="AV566" s="192"/>
    </row>
    <row r="567">
      <c r="A567" s="192"/>
      <c r="B567" s="192"/>
      <c r="C567" s="192"/>
      <c r="D567" s="192"/>
      <c r="E567" s="192"/>
      <c r="F567" s="192"/>
      <c r="G567" s="192"/>
      <c r="H567" s="192"/>
      <c r="I567" s="192"/>
      <c r="J567" s="192"/>
      <c r="K567" s="192"/>
      <c r="L567" s="192"/>
      <c r="M567" s="192"/>
      <c r="N567" s="192"/>
      <c r="O567" s="192"/>
      <c r="P567" s="192"/>
      <c r="Q567" s="192"/>
      <c r="R567" s="192"/>
      <c r="S567" s="192"/>
      <c r="T567" s="192"/>
      <c r="U567" s="192"/>
      <c r="V567" s="192"/>
      <c r="W567" s="192"/>
      <c r="X567" s="192"/>
      <c r="Y567" s="192"/>
      <c r="Z567" s="192"/>
      <c r="AA567" s="192"/>
      <c r="AB567" s="192"/>
      <c r="AC567" s="192"/>
      <c r="AD567" s="192"/>
      <c r="AE567" s="192"/>
      <c r="AF567" s="192"/>
      <c r="AG567" s="192"/>
      <c r="AH567" s="192"/>
      <c r="AI567" s="192"/>
      <c r="AJ567" s="192"/>
      <c r="AK567" s="192"/>
      <c r="AL567" s="192"/>
      <c r="AM567" s="192"/>
      <c r="AN567" s="192"/>
      <c r="AO567" s="192"/>
      <c r="AP567" s="192"/>
      <c r="AQ567" s="192"/>
      <c r="AR567" s="192"/>
      <c r="AS567" s="192"/>
      <c r="AT567" s="192"/>
      <c r="AU567" s="192"/>
      <c r="AV567" s="192"/>
    </row>
    <row r="568">
      <c r="A568" s="192"/>
      <c r="B568" s="192"/>
      <c r="C568" s="192"/>
      <c r="D568" s="192"/>
      <c r="E568" s="192"/>
      <c r="F568" s="192"/>
      <c r="G568" s="192"/>
      <c r="H568" s="192"/>
      <c r="I568" s="192"/>
      <c r="J568" s="192"/>
      <c r="K568" s="192"/>
      <c r="L568" s="192"/>
      <c r="M568" s="192"/>
      <c r="N568" s="192"/>
      <c r="O568" s="192"/>
      <c r="P568" s="192"/>
      <c r="Q568" s="192"/>
      <c r="R568" s="192"/>
      <c r="S568" s="192"/>
      <c r="T568" s="192"/>
      <c r="U568" s="192"/>
      <c r="V568" s="192"/>
      <c r="W568" s="192"/>
      <c r="X568" s="192"/>
      <c r="Y568" s="192"/>
      <c r="Z568" s="192"/>
      <c r="AA568" s="192"/>
      <c r="AB568" s="192"/>
      <c r="AC568" s="192"/>
      <c r="AD568" s="192"/>
      <c r="AE568" s="192"/>
      <c r="AF568" s="192"/>
      <c r="AG568" s="192"/>
      <c r="AH568" s="192"/>
      <c r="AI568" s="192"/>
      <c r="AJ568" s="192"/>
      <c r="AK568" s="192"/>
      <c r="AL568" s="192"/>
      <c r="AM568" s="192"/>
      <c r="AN568" s="192"/>
      <c r="AO568" s="192"/>
      <c r="AP568" s="192"/>
      <c r="AQ568" s="192"/>
      <c r="AR568" s="192"/>
      <c r="AS568" s="192"/>
      <c r="AT568" s="192"/>
      <c r="AU568" s="192"/>
      <c r="AV568" s="192"/>
    </row>
    <row r="569">
      <c r="A569" s="192"/>
      <c r="B569" s="192"/>
      <c r="C569" s="192"/>
      <c r="D569" s="192"/>
      <c r="E569" s="192"/>
      <c r="F569" s="192"/>
      <c r="G569" s="192"/>
      <c r="H569" s="192"/>
      <c r="I569" s="192"/>
      <c r="J569" s="192"/>
      <c r="K569" s="192"/>
      <c r="L569" s="192"/>
      <c r="M569" s="192"/>
      <c r="N569" s="192"/>
      <c r="O569" s="192"/>
      <c r="P569" s="192"/>
      <c r="Q569" s="192"/>
      <c r="R569" s="192"/>
      <c r="S569" s="192"/>
      <c r="T569" s="192"/>
      <c r="U569" s="192"/>
      <c r="V569" s="192"/>
      <c r="W569" s="192"/>
      <c r="X569" s="192"/>
      <c r="Y569" s="192"/>
      <c r="Z569" s="192"/>
      <c r="AA569" s="192"/>
      <c r="AB569" s="192"/>
      <c r="AC569" s="192"/>
      <c r="AD569" s="192"/>
      <c r="AE569" s="192"/>
      <c r="AF569" s="192"/>
      <c r="AG569" s="192"/>
      <c r="AH569" s="192"/>
      <c r="AI569" s="192"/>
      <c r="AJ569" s="192"/>
      <c r="AK569" s="192"/>
      <c r="AL569" s="192"/>
      <c r="AM569" s="192"/>
      <c r="AN569" s="192"/>
      <c r="AO569" s="192"/>
      <c r="AP569" s="192"/>
      <c r="AQ569" s="192"/>
      <c r="AR569" s="192"/>
      <c r="AS569" s="192"/>
      <c r="AT569" s="192"/>
      <c r="AU569" s="192"/>
      <c r="AV569" s="192"/>
    </row>
    <row r="570">
      <c r="A570" s="192"/>
      <c r="B570" s="192"/>
      <c r="C570" s="192"/>
      <c r="D570" s="192"/>
      <c r="E570" s="192"/>
      <c r="F570" s="192"/>
      <c r="G570" s="192"/>
      <c r="H570" s="192"/>
      <c r="I570" s="192"/>
      <c r="J570" s="192"/>
      <c r="K570" s="192"/>
      <c r="L570" s="192"/>
      <c r="M570" s="192"/>
      <c r="N570" s="192"/>
      <c r="O570" s="192"/>
      <c r="P570" s="192"/>
      <c r="Q570" s="192"/>
      <c r="R570" s="192"/>
      <c r="S570" s="192"/>
      <c r="T570" s="192"/>
      <c r="U570" s="192"/>
      <c r="V570" s="192"/>
      <c r="W570" s="192"/>
      <c r="X570" s="192"/>
      <c r="Y570" s="192"/>
      <c r="Z570" s="192"/>
      <c r="AA570" s="192"/>
      <c r="AB570" s="192"/>
      <c r="AC570" s="192"/>
      <c r="AD570" s="192"/>
      <c r="AE570" s="192"/>
      <c r="AF570" s="192"/>
      <c r="AG570" s="192"/>
      <c r="AH570" s="192"/>
      <c r="AI570" s="192"/>
      <c r="AJ570" s="192"/>
      <c r="AK570" s="192"/>
      <c r="AL570" s="192"/>
      <c r="AM570" s="192"/>
      <c r="AN570" s="192"/>
      <c r="AO570" s="192"/>
      <c r="AP570" s="192"/>
      <c r="AQ570" s="192"/>
      <c r="AR570" s="192"/>
      <c r="AS570" s="192"/>
      <c r="AT570" s="192"/>
      <c r="AU570" s="192"/>
      <c r="AV570" s="192"/>
    </row>
    <row r="571">
      <c r="A571" s="192"/>
      <c r="B571" s="192"/>
      <c r="C571" s="192"/>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2"/>
      <c r="Z571" s="192"/>
      <c r="AA571" s="192"/>
      <c r="AB571" s="192"/>
      <c r="AC571" s="192"/>
      <c r="AD571" s="192"/>
      <c r="AE571" s="192"/>
      <c r="AF571" s="192"/>
      <c r="AG571" s="192"/>
      <c r="AH571" s="192"/>
      <c r="AI571" s="192"/>
      <c r="AJ571" s="192"/>
      <c r="AK571" s="192"/>
      <c r="AL571" s="192"/>
      <c r="AM571" s="192"/>
      <c r="AN571" s="192"/>
      <c r="AO571" s="192"/>
      <c r="AP571" s="192"/>
      <c r="AQ571" s="192"/>
      <c r="AR571" s="192"/>
      <c r="AS571" s="192"/>
      <c r="AT571" s="192"/>
      <c r="AU571" s="192"/>
      <c r="AV571" s="192"/>
    </row>
    <row r="572">
      <c r="A572" s="192"/>
      <c r="B572" s="192"/>
      <c r="C572" s="192"/>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192"/>
      <c r="Z572" s="192"/>
      <c r="AA572" s="192"/>
      <c r="AB572" s="192"/>
      <c r="AC572" s="192"/>
      <c r="AD572" s="192"/>
      <c r="AE572" s="192"/>
      <c r="AF572" s="192"/>
      <c r="AG572" s="192"/>
      <c r="AH572" s="192"/>
      <c r="AI572" s="192"/>
      <c r="AJ572" s="192"/>
      <c r="AK572" s="192"/>
      <c r="AL572" s="192"/>
      <c r="AM572" s="192"/>
      <c r="AN572" s="192"/>
      <c r="AO572" s="192"/>
      <c r="AP572" s="192"/>
      <c r="AQ572" s="192"/>
      <c r="AR572" s="192"/>
      <c r="AS572" s="192"/>
      <c r="AT572" s="192"/>
      <c r="AU572" s="192"/>
      <c r="AV572" s="192"/>
    </row>
    <row r="573">
      <c r="A573" s="192"/>
      <c r="B573" s="192"/>
      <c r="C573" s="192"/>
      <c r="D573" s="192"/>
      <c r="E573" s="192"/>
      <c r="F573" s="192"/>
      <c r="G573" s="192"/>
      <c r="H573" s="192"/>
      <c r="I573" s="192"/>
      <c r="J573" s="192"/>
      <c r="K573" s="192"/>
      <c r="L573" s="192"/>
      <c r="M573" s="192"/>
      <c r="N573" s="192"/>
      <c r="O573" s="192"/>
      <c r="P573" s="192"/>
      <c r="Q573" s="192"/>
      <c r="R573" s="192"/>
      <c r="S573" s="192"/>
      <c r="T573" s="192"/>
      <c r="U573" s="192"/>
      <c r="V573" s="192"/>
      <c r="W573" s="192"/>
      <c r="X573" s="192"/>
      <c r="Y573" s="192"/>
      <c r="Z573" s="192"/>
      <c r="AA573" s="192"/>
      <c r="AB573" s="192"/>
      <c r="AC573" s="192"/>
      <c r="AD573" s="192"/>
      <c r="AE573" s="192"/>
      <c r="AF573" s="192"/>
      <c r="AG573" s="192"/>
      <c r="AH573" s="192"/>
      <c r="AI573" s="192"/>
      <c r="AJ573" s="192"/>
      <c r="AK573" s="192"/>
      <c r="AL573" s="192"/>
      <c r="AM573" s="192"/>
      <c r="AN573" s="192"/>
      <c r="AO573" s="192"/>
      <c r="AP573" s="192"/>
      <c r="AQ573" s="192"/>
      <c r="AR573" s="192"/>
      <c r="AS573" s="192"/>
      <c r="AT573" s="192"/>
      <c r="AU573" s="192"/>
      <c r="AV573" s="192"/>
    </row>
    <row r="574">
      <c r="A574" s="192"/>
      <c r="B574" s="192"/>
      <c r="C574" s="192"/>
      <c r="D574" s="192"/>
      <c r="E574" s="192"/>
      <c r="F574" s="192"/>
      <c r="G574" s="192"/>
      <c r="H574" s="192"/>
      <c r="I574" s="192"/>
      <c r="J574" s="192"/>
      <c r="K574" s="192"/>
      <c r="L574" s="192"/>
      <c r="M574" s="192"/>
      <c r="N574" s="192"/>
      <c r="O574" s="192"/>
      <c r="P574" s="192"/>
      <c r="Q574" s="192"/>
      <c r="R574" s="192"/>
      <c r="S574" s="192"/>
      <c r="T574" s="192"/>
      <c r="U574" s="192"/>
      <c r="V574" s="192"/>
      <c r="W574" s="192"/>
      <c r="X574" s="192"/>
      <c r="Y574" s="192"/>
      <c r="Z574" s="192"/>
      <c r="AA574" s="192"/>
      <c r="AB574" s="192"/>
      <c r="AC574" s="192"/>
      <c r="AD574" s="192"/>
      <c r="AE574" s="192"/>
      <c r="AF574" s="192"/>
      <c r="AG574" s="192"/>
      <c r="AH574" s="192"/>
      <c r="AI574" s="192"/>
      <c r="AJ574" s="192"/>
      <c r="AK574" s="192"/>
      <c r="AL574" s="192"/>
      <c r="AM574" s="192"/>
      <c r="AN574" s="192"/>
      <c r="AO574" s="192"/>
      <c r="AP574" s="192"/>
      <c r="AQ574" s="192"/>
      <c r="AR574" s="192"/>
      <c r="AS574" s="192"/>
      <c r="AT574" s="192"/>
      <c r="AU574" s="192"/>
      <c r="AV574" s="192"/>
    </row>
    <row r="575">
      <c r="A575" s="192"/>
      <c r="B575" s="192"/>
      <c r="C575" s="192"/>
      <c r="D575" s="192"/>
      <c r="E575" s="192"/>
      <c r="F575" s="192"/>
      <c r="G575" s="192"/>
      <c r="H575" s="192"/>
      <c r="I575" s="192"/>
      <c r="J575" s="192"/>
      <c r="K575" s="192"/>
      <c r="L575" s="192"/>
      <c r="M575" s="192"/>
      <c r="N575" s="192"/>
      <c r="O575" s="192"/>
      <c r="P575" s="192"/>
      <c r="Q575" s="192"/>
      <c r="R575" s="192"/>
      <c r="S575" s="192"/>
      <c r="T575" s="192"/>
      <c r="U575" s="192"/>
      <c r="V575" s="192"/>
      <c r="W575" s="192"/>
      <c r="X575" s="192"/>
      <c r="Y575" s="192"/>
      <c r="Z575" s="192"/>
      <c r="AA575" s="192"/>
      <c r="AB575" s="192"/>
      <c r="AC575" s="192"/>
      <c r="AD575" s="192"/>
      <c r="AE575" s="192"/>
      <c r="AF575" s="192"/>
      <c r="AG575" s="192"/>
      <c r="AH575" s="192"/>
      <c r="AI575" s="192"/>
      <c r="AJ575" s="192"/>
      <c r="AK575" s="192"/>
      <c r="AL575" s="192"/>
      <c r="AM575" s="192"/>
      <c r="AN575" s="192"/>
      <c r="AO575" s="192"/>
      <c r="AP575" s="192"/>
      <c r="AQ575" s="192"/>
      <c r="AR575" s="192"/>
      <c r="AS575" s="192"/>
      <c r="AT575" s="192"/>
      <c r="AU575" s="192"/>
      <c r="AV575" s="192"/>
    </row>
    <row r="576">
      <c r="A576" s="192"/>
      <c r="B576" s="192"/>
      <c r="C576" s="192"/>
      <c r="D576" s="192"/>
      <c r="E576" s="192"/>
      <c r="F576" s="192"/>
      <c r="G576" s="192"/>
      <c r="H576" s="192"/>
      <c r="I576" s="192"/>
      <c r="J576" s="192"/>
      <c r="K576" s="192"/>
      <c r="L576" s="192"/>
      <c r="M576" s="192"/>
      <c r="N576" s="192"/>
      <c r="O576" s="192"/>
      <c r="P576" s="192"/>
      <c r="Q576" s="192"/>
      <c r="R576" s="192"/>
      <c r="S576" s="192"/>
      <c r="T576" s="192"/>
      <c r="U576" s="192"/>
      <c r="V576" s="192"/>
      <c r="W576" s="192"/>
      <c r="X576" s="192"/>
      <c r="Y576" s="192"/>
      <c r="Z576" s="192"/>
      <c r="AA576" s="192"/>
      <c r="AB576" s="192"/>
      <c r="AC576" s="192"/>
      <c r="AD576" s="192"/>
      <c r="AE576" s="192"/>
      <c r="AF576" s="192"/>
      <c r="AG576" s="192"/>
      <c r="AH576" s="192"/>
      <c r="AI576" s="192"/>
      <c r="AJ576" s="192"/>
      <c r="AK576" s="192"/>
      <c r="AL576" s="192"/>
      <c r="AM576" s="192"/>
      <c r="AN576" s="192"/>
      <c r="AO576" s="192"/>
      <c r="AP576" s="192"/>
      <c r="AQ576" s="192"/>
      <c r="AR576" s="192"/>
      <c r="AS576" s="192"/>
      <c r="AT576" s="192"/>
      <c r="AU576" s="192"/>
      <c r="AV576" s="192"/>
    </row>
    <row r="577">
      <c r="A577" s="192"/>
      <c r="B577" s="192"/>
      <c r="C577" s="192"/>
      <c r="D577" s="192"/>
      <c r="E577" s="192"/>
      <c r="F577" s="192"/>
      <c r="G577" s="192"/>
      <c r="H577" s="192"/>
      <c r="I577" s="192"/>
      <c r="J577" s="192"/>
      <c r="K577" s="192"/>
      <c r="L577" s="192"/>
      <c r="M577" s="192"/>
      <c r="N577" s="192"/>
      <c r="O577" s="192"/>
      <c r="P577" s="192"/>
      <c r="Q577" s="192"/>
      <c r="R577" s="192"/>
      <c r="S577" s="192"/>
      <c r="T577" s="192"/>
      <c r="U577" s="192"/>
      <c r="V577" s="192"/>
      <c r="W577" s="192"/>
      <c r="X577" s="192"/>
      <c r="Y577" s="192"/>
      <c r="Z577" s="192"/>
      <c r="AA577" s="192"/>
      <c r="AB577" s="192"/>
      <c r="AC577" s="192"/>
      <c r="AD577" s="192"/>
      <c r="AE577" s="192"/>
      <c r="AF577" s="192"/>
      <c r="AG577" s="192"/>
      <c r="AH577" s="192"/>
      <c r="AI577" s="192"/>
      <c r="AJ577" s="192"/>
      <c r="AK577" s="192"/>
      <c r="AL577" s="192"/>
      <c r="AM577" s="192"/>
      <c r="AN577" s="192"/>
      <c r="AO577" s="192"/>
      <c r="AP577" s="192"/>
      <c r="AQ577" s="192"/>
      <c r="AR577" s="192"/>
      <c r="AS577" s="192"/>
      <c r="AT577" s="192"/>
      <c r="AU577" s="192"/>
      <c r="AV577" s="192"/>
    </row>
    <row r="578">
      <c r="A578" s="192"/>
      <c r="B578" s="192"/>
      <c r="C578" s="192"/>
      <c r="D578" s="192"/>
      <c r="E578" s="192"/>
      <c r="F578" s="192"/>
      <c r="G578" s="192"/>
      <c r="H578" s="192"/>
      <c r="I578" s="192"/>
      <c r="J578" s="192"/>
      <c r="K578" s="192"/>
      <c r="L578" s="192"/>
      <c r="M578" s="192"/>
      <c r="N578" s="192"/>
      <c r="O578" s="192"/>
      <c r="P578" s="192"/>
      <c r="Q578" s="192"/>
      <c r="R578" s="192"/>
      <c r="S578" s="192"/>
      <c r="T578" s="192"/>
      <c r="U578" s="192"/>
      <c r="V578" s="192"/>
      <c r="W578" s="192"/>
      <c r="X578" s="192"/>
      <c r="Y578" s="192"/>
      <c r="Z578" s="192"/>
      <c r="AA578" s="192"/>
      <c r="AB578" s="192"/>
      <c r="AC578" s="192"/>
      <c r="AD578" s="192"/>
      <c r="AE578" s="192"/>
      <c r="AF578" s="192"/>
      <c r="AG578" s="192"/>
      <c r="AH578" s="192"/>
      <c r="AI578" s="192"/>
      <c r="AJ578" s="192"/>
      <c r="AK578" s="192"/>
      <c r="AL578" s="192"/>
      <c r="AM578" s="192"/>
      <c r="AN578" s="192"/>
      <c r="AO578" s="192"/>
      <c r="AP578" s="192"/>
      <c r="AQ578" s="192"/>
      <c r="AR578" s="192"/>
      <c r="AS578" s="192"/>
      <c r="AT578" s="192"/>
      <c r="AU578" s="192"/>
      <c r="AV578" s="192"/>
    </row>
    <row r="579">
      <c r="A579" s="192"/>
      <c r="B579" s="192"/>
      <c r="C579" s="192"/>
      <c r="D579" s="192"/>
      <c r="E579" s="192"/>
      <c r="F579" s="192"/>
      <c r="G579" s="192"/>
      <c r="H579" s="192"/>
      <c r="I579" s="192"/>
      <c r="J579" s="192"/>
      <c r="K579" s="192"/>
      <c r="L579" s="192"/>
      <c r="M579" s="192"/>
      <c r="N579" s="192"/>
      <c r="O579" s="192"/>
      <c r="P579" s="192"/>
      <c r="Q579" s="192"/>
      <c r="R579" s="192"/>
      <c r="S579" s="192"/>
      <c r="T579" s="192"/>
      <c r="U579" s="192"/>
      <c r="V579" s="192"/>
      <c r="W579" s="192"/>
      <c r="X579" s="192"/>
      <c r="Y579" s="192"/>
      <c r="Z579" s="192"/>
      <c r="AA579" s="192"/>
      <c r="AB579" s="192"/>
      <c r="AC579" s="192"/>
      <c r="AD579" s="192"/>
      <c r="AE579" s="192"/>
      <c r="AF579" s="192"/>
      <c r="AG579" s="192"/>
      <c r="AH579" s="192"/>
      <c r="AI579" s="192"/>
      <c r="AJ579" s="192"/>
      <c r="AK579" s="192"/>
      <c r="AL579" s="192"/>
      <c r="AM579" s="192"/>
      <c r="AN579" s="192"/>
      <c r="AO579" s="192"/>
      <c r="AP579" s="192"/>
      <c r="AQ579" s="192"/>
      <c r="AR579" s="192"/>
      <c r="AS579" s="192"/>
      <c r="AT579" s="192"/>
      <c r="AU579" s="192"/>
      <c r="AV579" s="192"/>
    </row>
    <row r="580">
      <c r="A580" s="192"/>
      <c r="B580" s="192"/>
      <c r="C580" s="192"/>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2"/>
      <c r="Z580" s="192"/>
      <c r="AA580" s="192"/>
      <c r="AB580" s="192"/>
      <c r="AC580" s="192"/>
      <c r="AD580" s="192"/>
      <c r="AE580" s="192"/>
      <c r="AF580" s="192"/>
      <c r="AG580" s="192"/>
      <c r="AH580" s="192"/>
      <c r="AI580" s="192"/>
      <c r="AJ580" s="192"/>
      <c r="AK580" s="192"/>
      <c r="AL580" s="192"/>
      <c r="AM580" s="192"/>
      <c r="AN580" s="192"/>
      <c r="AO580" s="192"/>
      <c r="AP580" s="192"/>
      <c r="AQ580" s="192"/>
      <c r="AR580" s="192"/>
      <c r="AS580" s="192"/>
      <c r="AT580" s="192"/>
      <c r="AU580" s="192"/>
      <c r="AV580" s="192"/>
    </row>
    <row r="581">
      <c r="A581" s="192"/>
      <c r="B581" s="192"/>
      <c r="C581" s="192"/>
      <c r="D581" s="192"/>
      <c r="E581" s="192"/>
      <c r="F581" s="192"/>
      <c r="G581" s="192"/>
      <c r="H581" s="192"/>
      <c r="I581" s="192"/>
      <c r="J581" s="192"/>
      <c r="K581" s="192"/>
      <c r="L581" s="192"/>
      <c r="M581" s="192"/>
      <c r="N581" s="192"/>
      <c r="O581" s="192"/>
      <c r="P581" s="192"/>
      <c r="Q581" s="192"/>
      <c r="R581" s="192"/>
      <c r="S581" s="192"/>
      <c r="T581" s="192"/>
      <c r="U581" s="192"/>
      <c r="V581" s="192"/>
      <c r="W581" s="192"/>
      <c r="X581" s="192"/>
      <c r="Y581" s="192"/>
      <c r="Z581" s="192"/>
      <c r="AA581" s="192"/>
      <c r="AB581" s="192"/>
      <c r="AC581" s="192"/>
      <c r="AD581" s="192"/>
      <c r="AE581" s="192"/>
      <c r="AF581" s="192"/>
      <c r="AG581" s="192"/>
      <c r="AH581" s="192"/>
      <c r="AI581" s="192"/>
      <c r="AJ581" s="192"/>
      <c r="AK581" s="192"/>
      <c r="AL581" s="192"/>
      <c r="AM581" s="192"/>
      <c r="AN581" s="192"/>
      <c r="AO581" s="192"/>
      <c r="AP581" s="192"/>
      <c r="AQ581" s="192"/>
      <c r="AR581" s="192"/>
      <c r="AS581" s="192"/>
      <c r="AT581" s="192"/>
      <c r="AU581" s="192"/>
      <c r="AV581" s="192"/>
    </row>
    <row r="582">
      <c r="A582" s="192"/>
      <c r="B582" s="192"/>
      <c r="C582" s="19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2"/>
      <c r="Z582" s="192"/>
      <c r="AA582" s="192"/>
      <c r="AB582" s="192"/>
      <c r="AC582" s="192"/>
      <c r="AD582" s="192"/>
      <c r="AE582" s="192"/>
      <c r="AF582" s="192"/>
      <c r="AG582" s="192"/>
      <c r="AH582" s="192"/>
      <c r="AI582" s="192"/>
      <c r="AJ582" s="192"/>
      <c r="AK582" s="192"/>
      <c r="AL582" s="192"/>
      <c r="AM582" s="192"/>
      <c r="AN582" s="192"/>
      <c r="AO582" s="192"/>
      <c r="AP582" s="192"/>
      <c r="AQ582" s="192"/>
      <c r="AR582" s="192"/>
      <c r="AS582" s="192"/>
      <c r="AT582" s="192"/>
      <c r="AU582" s="192"/>
      <c r="AV582" s="192"/>
    </row>
    <row r="583">
      <c r="A583" s="192"/>
      <c r="B583" s="192"/>
      <c r="C583" s="192"/>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c r="Z583" s="192"/>
      <c r="AA583" s="192"/>
      <c r="AB583" s="192"/>
      <c r="AC583" s="192"/>
      <c r="AD583" s="192"/>
      <c r="AE583" s="192"/>
      <c r="AF583" s="192"/>
      <c r="AG583" s="192"/>
      <c r="AH583" s="192"/>
      <c r="AI583" s="192"/>
      <c r="AJ583" s="192"/>
      <c r="AK583" s="192"/>
      <c r="AL583" s="192"/>
      <c r="AM583" s="192"/>
      <c r="AN583" s="192"/>
      <c r="AO583" s="192"/>
      <c r="AP583" s="192"/>
      <c r="AQ583" s="192"/>
      <c r="AR583" s="192"/>
      <c r="AS583" s="192"/>
      <c r="AT583" s="192"/>
      <c r="AU583" s="192"/>
      <c r="AV583" s="192"/>
    </row>
    <row r="584">
      <c r="A584" s="192"/>
      <c r="B584" s="192"/>
      <c r="C584" s="192"/>
      <c r="D584" s="192"/>
      <c r="E584" s="192"/>
      <c r="F584" s="192"/>
      <c r="G584" s="192"/>
      <c r="H584" s="192"/>
      <c r="I584" s="192"/>
      <c r="J584" s="192"/>
      <c r="K584" s="192"/>
      <c r="L584" s="192"/>
      <c r="M584" s="192"/>
      <c r="N584" s="192"/>
      <c r="O584" s="192"/>
      <c r="P584" s="192"/>
      <c r="Q584" s="192"/>
      <c r="R584" s="192"/>
      <c r="S584" s="192"/>
      <c r="T584" s="192"/>
      <c r="U584" s="192"/>
      <c r="V584" s="192"/>
      <c r="W584" s="192"/>
      <c r="X584" s="192"/>
      <c r="Y584" s="192"/>
      <c r="Z584" s="192"/>
      <c r="AA584" s="192"/>
      <c r="AB584" s="192"/>
      <c r="AC584" s="192"/>
      <c r="AD584" s="192"/>
      <c r="AE584" s="192"/>
      <c r="AF584" s="192"/>
      <c r="AG584" s="192"/>
      <c r="AH584" s="192"/>
      <c r="AI584" s="192"/>
      <c r="AJ584" s="192"/>
      <c r="AK584" s="192"/>
      <c r="AL584" s="192"/>
      <c r="AM584" s="192"/>
      <c r="AN584" s="192"/>
      <c r="AO584" s="192"/>
      <c r="AP584" s="192"/>
      <c r="AQ584" s="192"/>
      <c r="AR584" s="192"/>
      <c r="AS584" s="192"/>
      <c r="AT584" s="192"/>
      <c r="AU584" s="192"/>
      <c r="AV584" s="192"/>
    </row>
    <row r="585">
      <c r="A585" s="192"/>
      <c r="B585" s="192"/>
      <c r="C585" s="192"/>
      <c r="D585" s="192"/>
      <c r="E585" s="192"/>
      <c r="F585" s="192"/>
      <c r="G585" s="192"/>
      <c r="H585" s="192"/>
      <c r="I585" s="192"/>
      <c r="J585" s="192"/>
      <c r="K585" s="192"/>
      <c r="L585" s="192"/>
      <c r="M585" s="192"/>
      <c r="N585" s="192"/>
      <c r="O585" s="192"/>
      <c r="P585" s="192"/>
      <c r="Q585" s="192"/>
      <c r="R585" s="192"/>
      <c r="S585" s="192"/>
      <c r="T585" s="192"/>
      <c r="U585" s="192"/>
      <c r="V585" s="192"/>
      <c r="W585" s="192"/>
      <c r="X585" s="192"/>
      <c r="Y585" s="192"/>
      <c r="Z585" s="192"/>
      <c r="AA585" s="192"/>
      <c r="AB585" s="192"/>
      <c r="AC585" s="192"/>
      <c r="AD585" s="192"/>
      <c r="AE585" s="192"/>
      <c r="AF585" s="192"/>
      <c r="AG585" s="192"/>
      <c r="AH585" s="192"/>
      <c r="AI585" s="192"/>
      <c r="AJ585" s="192"/>
      <c r="AK585" s="192"/>
      <c r="AL585" s="192"/>
      <c r="AM585" s="192"/>
      <c r="AN585" s="192"/>
      <c r="AO585" s="192"/>
      <c r="AP585" s="192"/>
      <c r="AQ585" s="192"/>
      <c r="AR585" s="192"/>
      <c r="AS585" s="192"/>
      <c r="AT585" s="192"/>
      <c r="AU585" s="192"/>
      <c r="AV585" s="192"/>
    </row>
    <row r="586">
      <c r="A586" s="192"/>
      <c r="B586" s="192"/>
      <c r="C586" s="192"/>
      <c r="D586" s="192"/>
      <c r="E586" s="192"/>
      <c r="F586" s="192"/>
      <c r="G586" s="192"/>
      <c r="H586" s="192"/>
      <c r="I586" s="192"/>
      <c r="J586" s="192"/>
      <c r="K586" s="192"/>
      <c r="L586" s="192"/>
      <c r="M586" s="192"/>
      <c r="N586" s="192"/>
      <c r="O586" s="192"/>
      <c r="P586" s="192"/>
      <c r="Q586" s="192"/>
      <c r="R586" s="192"/>
      <c r="S586" s="192"/>
      <c r="T586" s="192"/>
      <c r="U586" s="192"/>
      <c r="V586" s="192"/>
      <c r="W586" s="192"/>
      <c r="X586" s="192"/>
      <c r="Y586" s="192"/>
      <c r="Z586" s="192"/>
      <c r="AA586" s="192"/>
      <c r="AB586" s="192"/>
      <c r="AC586" s="192"/>
      <c r="AD586" s="192"/>
      <c r="AE586" s="192"/>
      <c r="AF586" s="192"/>
      <c r="AG586" s="192"/>
      <c r="AH586" s="192"/>
      <c r="AI586" s="192"/>
      <c r="AJ586" s="192"/>
      <c r="AK586" s="192"/>
      <c r="AL586" s="192"/>
      <c r="AM586" s="192"/>
      <c r="AN586" s="192"/>
      <c r="AO586" s="192"/>
      <c r="AP586" s="192"/>
      <c r="AQ586" s="192"/>
      <c r="AR586" s="192"/>
      <c r="AS586" s="192"/>
      <c r="AT586" s="192"/>
      <c r="AU586" s="192"/>
      <c r="AV586" s="192"/>
    </row>
    <row r="587">
      <c r="A587" s="192"/>
      <c r="B587" s="192"/>
      <c r="C587" s="192"/>
      <c r="D587" s="192"/>
      <c r="E587" s="192"/>
      <c r="F587" s="192"/>
      <c r="G587" s="192"/>
      <c r="H587" s="192"/>
      <c r="I587" s="192"/>
      <c r="J587" s="192"/>
      <c r="K587" s="192"/>
      <c r="L587" s="192"/>
      <c r="M587" s="192"/>
      <c r="N587" s="192"/>
      <c r="O587" s="192"/>
      <c r="P587" s="192"/>
      <c r="Q587" s="192"/>
      <c r="R587" s="192"/>
      <c r="S587" s="192"/>
      <c r="T587" s="192"/>
      <c r="U587" s="192"/>
      <c r="V587" s="192"/>
      <c r="W587" s="192"/>
      <c r="X587" s="192"/>
      <c r="Y587" s="192"/>
      <c r="Z587" s="192"/>
      <c r="AA587" s="192"/>
      <c r="AB587" s="192"/>
      <c r="AC587" s="192"/>
      <c r="AD587" s="192"/>
      <c r="AE587" s="192"/>
      <c r="AF587" s="192"/>
      <c r="AG587" s="192"/>
      <c r="AH587" s="192"/>
      <c r="AI587" s="192"/>
      <c r="AJ587" s="192"/>
      <c r="AK587" s="192"/>
      <c r="AL587" s="192"/>
      <c r="AM587" s="192"/>
      <c r="AN587" s="192"/>
      <c r="AO587" s="192"/>
      <c r="AP587" s="192"/>
      <c r="AQ587" s="192"/>
      <c r="AR587" s="192"/>
      <c r="AS587" s="192"/>
      <c r="AT587" s="192"/>
      <c r="AU587" s="192"/>
      <c r="AV587" s="192"/>
    </row>
    <row r="588">
      <c r="A588" s="192"/>
      <c r="B588" s="192"/>
      <c r="C588" s="192"/>
      <c r="D588" s="192"/>
      <c r="E588" s="192"/>
      <c r="F588" s="192"/>
      <c r="G588" s="192"/>
      <c r="H588" s="192"/>
      <c r="I588" s="192"/>
      <c r="J588" s="192"/>
      <c r="K588" s="192"/>
      <c r="L588" s="192"/>
      <c r="M588" s="192"/>
      <c r="N588" s="192"/>
      <c r="O588" s="192"/>
      <c r="P588" s="192"/>
      <c r="Q588" s="192"/>
      <c r="R588" s="192"/>
      <c r="S588" s="192"/>
      <c r="T588" s="192"/>
      <c r="U588" s="192"/>
      <c r="V588" s="192"/>
      <c r="W588" s="192"/>
      <c r="X588" s="192"/>
      <c r="Y588" s="192"/>
      <c r="Z588" s="192"/>
      <c r="AA588" s="192"/>
      <c r="AB588" s="192"/>
      <c r="AC588" s="192"/>
      <c r="AD588" s="192"/>
      <c r="AE588" s="192"/>
      <c r="AF588" s="192"/>
      <c r="AG588" s="192"/>
      <c r="AH588" s="192"/>
      <c r="AI588" s="192"/>
      <c r="AJ588" s="192"/>
      <c r="AK588" s="192"/>
      <c r="AL588" s="192"/>
      <c r="AM588" s="192"/>
      <c r="AN588" s="192"/>
      <c r="AO588" s="192"/>
      <c r="AP588" s="192"/>
      <c r="AQ588" s="192"/>
      <c r="AR588" s="192"/>
      <c r="AS588" s="192"/>
      <c r="AT588" s="192"/>
      <c r="AU588" s="192"/>
      <c r="AV588" s="192"/>
    </row>
    <row r="589">
      <c r="A589" s="192"/>
      <c r="B589" s="192"/>
      <c r="C589" s="192"/>
      <c r="D589" s="192"/>
      <c r="E589" s="192"/>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row>
    <row r="590">
      <c r="A590" s="192"/>
      <c r="B590" s="192"/>
      <c r="C590" s="192"/>
      <c r="D590" s="192"/>
      <c r="E590" s="192"/>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row>
    <row r="591">
      <c r="A591" s="192"/>
      <c r="B591" s="192"/>
      <c r="C591" s="192"/>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row>
    <row r="592">
      <c r="A592" s="192"/>
      <c r="B592" s="192"/>
      <c r="C592" s="192"/>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c r="Z592" s="192"/>
      <c r="AA592" s="192"/>
      <c r="AB592" s="192"/>
      <c r="AC592" s="192"/>
      <c r="AD592" s="192"/>
      <c r="AE592" s="192"/>
      <c r="AF592" s="192"/>
      <c r="AG592" s="192"/>
      <c r="AH592" s="192"/>
      <c r="AI592" s="192"/>
      <c r="AJ592" s="192"/>
      <c r="AK592" s="192"/>
      <c r="AL592" s="192"/>
      <c r="AM592" s="192"/>
      <c r="AN592" s="192"/>
      <c r="AO592" s="192"/>
      <c r="AP592" s="192"/>
      <c r="AQ592" s="192"/>
      <c r="AR592" s="192"/>
      <c r="AS592" s="192"/>
      <c r="AT592" s="192"/>
      <c r="AU592" s="192"/>
      <c r="AV592" s="192"/>
    </row>
    <row r="593">
      <c r="A593" s="192"/>
      <c r="B593" s="192"/>
      <c r="C593" s="192"/>
      <c r="D593" s="192"/>
      <c r="E593" s="192"/>
      <c r="F593" s="192"/>
      <c r="G593" s="192"/>
      <c r="H593" s="192"/>
      <c r="I593" s="192"/>
      <c r="J593" s="192"/>
      <c r="K593" s="192"/>
      <c r="L593" s="192"/>
      <c r="M593" s="192"/>
      <c r="N593" s="192"/>
      <c r="O593" s="192"/>
      <c r="P593" s="192"/>
      <c r="Q593" s="192"/>
      <c r="R593" s="192"/>
      <c r="S593" s="192"/>
      <c r="T593" s="192"/>
      <c r="U593" s="192"/>
      <c r="V593" s="192"/>
      <c r="W593" s="192"/>
      <c r="X593" s="192"/>
      <c r="Y593" s="192"/>
      <c r="Z593" s="192"/>
      <c r="AA593" s="192"/>
      <c r="AB593" s="192"/>
      <c r="AC593" s="192"/>
      <c r="AD593" s="192"/>
      <c r="AE593" s="192"/>
      <c r="AF593" s="192"/>
      <c r="AG593" s="192"/>
      <c r="AH593" s="192"/>
      <c r="AI593" s="192"/>
      <c r="AJ593" s="192"/>
      <c r="AK593" s="192"/>
      <c r="AL593" s="192"/>
      <c r="AM593" s="192"/>
      <c r="AN593" s="192"/>
      <c r="AO593" s="192"/>
      <c r="AP593" s="192"/>
      <c r="AQ593" s="192"/>
      <c r="AR593" s="192"/>
      <c r="AS593" s="192"/>
      <c r="AT593" s="192"/>
      <c r="AU593" s="192"/>
      <c r="AV593" s="192"/>
    </row>
    <row r="594">
      <c r="A594" s="192"/>
      <c r="B594" s="192"/>
      <c r="C594" s="192"/>
      <c r="D594" s="192"/>
      <c r="E594" s="192"/>
      <c r="F594" s="192"/>
      <c r="G594" s="192"/>
      <c r="H594" s="192"/>
      <c r="I594" s="192"/>
      <c r="J594" s="192"/>
      <c r="K594" s="192"/>
      <c r="L594" s="192"/>
      <c r="M594" s="192"/>
      <c r="N594" s="192"/>
      <c r="O594" s="192"/>
      <c r="P594" s="192"/>
      <c r="Q594" s="192"/>
      <c r="R594" s="192"/>
      <c r="S594" s="192"/>
      <c r="T594" s="192"/>
      <c r="U594" s="192"/>
      <c r="V594" s="192"/>
      <c r="W594" s="192"/>
      <c r="X594" s="192"/>
      <c r="Y594" s="192"/>
      <c r="Z594" s="192"/>
      <c r="AA594" s="192"/>
      <c r="AB594" s="192"/>
      <c r="AC594" s="192"/>
      <c r="AD594" s="192"/>
      <c r="AE594" s="192"/>
      <c r="AF594" s="192"/>
      <c r="AG594" s="192"/>
      <c r="AH594" s="192"/>
      <c r="AI594" s="192"/>
      <c r="AJ594" s="192"/>
      <c r="AK594" s="192"/>
      <c r="AL594" s="192"/>
      <c r="AM594" s="192"/>
      <c r="AN594" s="192"/>
      <c r="AO594" s="192"/>
      <c r="AP594" s="192"/>
      <c r="AQ594" s="192"/>
      <c r="AR594" s="192"/>
      <c r="AS594" s="192"/>
      <c r="AT594" s="192"/>
      <c r="AU594" s="192"/>
      <c r="AV594" s="192"/>
    </row>
    <row r="595">
      <c r="A595" s="192"/>
      <c r="B595" s="192"/>
      <c r="C595" s="192"/>
      <c r="D595" s="192"/>
      <c r="E595" s="192"/>
      <c r="F595" s="192"/>
      <c r="G595" s="192"/>
      <c r="H595" s="192"/>
      <c r="I595" s="192"/>
      <c r="J595" s="192"/>
      <c r="K595" s="192"/>
      <c r="L595" s="192"/>
      <c r="M595" s="192"/>
      <c r="N595" s="192"/>
      <c r="O595" s="192"/>
      <c r="P595" s="192"/>
      <c r="Q595" s="192"/>
      <c r="R595" s="192"/>
      <c r="S595" s="192"/>
      <c r="T595" s="192"/>
      <c r="U595" s="192"/>
      <c r="V595" s="192"/>
      <c r="W595" s="192"/>
      <c r="X595" s="192"/>
      <c r="Y595" s="192"/>
      <c r="Z595" s="192"/>
      <c r="AA595" s="192"/>
      <c r="AB595" s="192"/>
      <c r="AC595" s="192"/>
      <c r="AD595" s="192"/>
      <c r="AE595" s="192"/>
      <c r="AF595" s="192"/>
      <c r="AG595" s="192"/>
      <c r="AH595" s="192"/>
      <c r="AI595" s="192"/>
      <c r="AJ595" s="192"/>
      <c r="AK595" s="192"/>
      <c r="AL595" s="192"/>
      <c r="AM595" s="192"/>
      <c r="AN595" s="192"/>
      <c r="AO595" s="192"/>
      <c r="AP595" s="192"/>
      <c r="AQ595" s="192"/>
      <c r="AR595" s="192"/>
      <c r="AS595" s="192"/>
      <c r="AT595" s="192"/>
      <c r="AU595" s="192"/>
      <c r="AV595" s="192"/>
    </row>
    <row r="596">
      <c r="A596" s="192"/>
      <c r="B596" s="192"/>
      <c r="C596" s="192"/>
      <c r="D596" s="192"/>
      <c r="E596" s="192"/>
      <c r="F596" s="192"/>
      <c r="G596" s="192"/>
      <c r="H596" s="192"/>
      <c r="I596" s="192"/>
      <c r="J596" s="192"/>
      <c r="K596" s="192"/>
      <c r="L596" s="192"/>
      <c r="M596" s="192"/>
      <c r="N596" s="192"/>
      <c r="O596" s="192"/>
      <c r="P596" s="192"/>
      <c r="Q596" s="192"/>
      <c r="R596" s="192"/>
      <c r="S596" s="192"/>
      <c r="T596" s="192"/>
      <c r="U596" s="192"/>
      <c r="V596" s="192"/>
      <c r="W596" s="192"/>
      <c r="X596" s="192"/>
      <c r="Y596" s="192"/>
      <c r="Z596" s="192"/>
      <c r="AA596" s="192"/>
      <c r="AB596" s="192"/>
      <c r="AC596" s="192"/>
      <c r="AD596" s="192"/>
      <c r="AE596" s="192"/>
      <c r="AF596" s="192"/>
      <c r="AG596" s="192"/>
      <c r="AH596" s="192"/>
      <c r="AI596" s="192"/>
      <c r="AJ596" s="192"/>
      <c r="AK596" s="192"/>
      <c r="AL596" s="192"/>
      <c r="AM596" s="192"/>
      <c r="AN596" s="192"/>
      <c r="AO596" s="192"/>
      <c r="AP596" s="192"/>
      <c r="AQ596" s="192"/>
      <c r="AR596" s="192"/>
      <c r="AS596" s="192"/>
      <c r="AT596" s="192"/>
      <c r="AU596" s="192"/>
      <c r="AV596" s="192"/>
    </row>
    <row r="597">
      <c r="A597" s="192"/>
      <c r="B597" s="192"/>
      <c r="C597" s="192"/>
      <c r="D597" s="192"/>
      <c r="E597" s="192"/>
      <c r="F597" s="192"/>
      <c r="G597" s="192"/>
      <c r="H597" s="192"/>
      <c r="I597" s="192"/>
      <c r="J597" s="192"/>
      <c r="K597" s="192"/>
      <c r="L597" s="192"/>
      <c r="M597" s="192"/>
      <c r="N597" s="192"/>
      <c r="O597" s="192"/>
      <c r="P597" s="192"/>
      <c r="Q597" s="192"/>
      <c r="R597" s="192"/>
      <c r="S597" s="192"/>
      <c r="T597" s="192"/>
      <c r="U597" s="192"/>
      <c r="V597" s="192"/>
      <c r="W597" s="192"/>
      <c r="X597" s="192"/>
      <c r="Y597" s="192"/>
      <c r="Z597" s="192"/>
      <c r="AA597" s="192"/>
      <c r="AB597" s="192"/>
      <c r="AC597" s="192"/>
      <c r="AD597" s="192"/>
      <c r="AE597" s="192"/>
      <c r="AF597" s="192"/>
      <c r="AG597" s="192"/>
      <c r="AH597" s="192"/>
      <c r="AI597" s="192"/>
      <c r="AJ597" s="192"/>
      <c r="AK597" s="192"/>
      <c r="AL597" s="192"/>
      <c r="AM597" s="192"/>
      <c r="AN597" s="192"/>
      <c r="AO597" s="192"/>
      <c r="AP597" s="192"/>
      <c r="AQ597" s="192"/>
      <c r="AR597" s="192"/>
      <c r="AS597" s="192"/>
      <c r="AT597" s="192"/>
      <c r="AU597" s="192"/>
      <c r="AV597" s="192"/>
    </row>
    <row r="598">
      <c r="A598" s="192"/>
      <c r="B598" s="192"/>
      <c r="C598" s="192"/>
      <c r="D598" s="192"/>
      <c r="E598" s="192"/>
      <c r="F598" s="192"/>
      <c r="G598" s="192"/>
      <c r="H598" s="192"/>
      <c r="I598" s="192"/>
      <c r="J598" s="192"/>
      <c r="K598" s="192"/>
      <c r="L598" s="192"/>
      <c r="M598" s="192"/>
      <c r="N598" s="192"/>
      <c r="O598" s="192"/>
      <c r="P598" s="192"/>
      <c r="Q598" s="192"/>
      <c r="R598" s="192"/>
      <c r="S598" s="192"/>
      <c r="T598" s="192"/>
      <c r="U598" s="192"/>
      <c r="V598" s="192"/>
      <c r="W598" s="192"/>
      <c r="X598" s="192"/>
      <c r="Y598" s="192"/>
      <c r="Z598" s="192"/>
      <c r="AA598" s="192"/>
      <c r="AB598" s="192"/>
      <c r="AC598" s="192"/>
      <c r="AD598" s="192"/>
      <c r="AE598" s="192"/>
      <c r="AF598" s="192"/>
      <c r="AG598" s="192"/>
      <c r="AH598" s="192"/>
      <c r="AI598" s="192"/>
      <c r="AJ598" s="192"/>
      <c r="AK598" s="192"/>
      <c r="AL598" s="192"/>
      <c r="AM598" s="192"/>
      <c r="AN598" s="192"/>
      <c r="AO598" s="192"/>
      <c r="AP598" s="192"/>
      <c r="AQ598" s="192"/>
      <c r="AR598" s="192"/>
      <c r="AS598" s="192"/>
      <c r="AT598" s="192"/>
      <c r="AU598" s="192"/>
      <c r="AV598" s="192"/>
    </row>
    <row r="599">
      <c r="A599" s="192"/>
      <c r="B599" s="192"/>
      <c r="C599" s="192"/>
      <c r="D599" s="192"/>
      <c r="E599" s="192"/>
      <c r="F599" s="192"/>
      <c r="G599" s="192"/>
      <c r="H599" s="192"/>
      <c r="I599" s="192"/>
      <c r="J599" s="192"/>
      <c r="K599" s="192"/>
      <c r="L599" s="192"/>
      <c r="M599" s="192"/>
      <c r="N599" s="192"/>
      <c r="O599" s="192"/>
      <c r="P599" s="192"/>
      <c r="Q599" s="192"/>
      <c r="R599" s="192"/>
      <c r="S599" s="192"/>
      <c r="T599" s="192"/>
      <c r="U599" s="192"/>
      <c r="V599" s="192"/>
      <c r="W599" s="192"/>
      <c r="X599" s="192"/>
      <c r="Y599" s="192"/>
      <c r="Z599" s="192"/>
      <c r="AA599" s="192"/>
      <c r="AB599" s="192"/>
      <c r="AC599" s="192"/>
      <c r="AD599" s="192"/>
      <c r="AE599" s="192"/>
      <c r="AF599" s="192"/>
      <c r="AG599" s="192"/>
      <c r="AH599" s="192"/>
      <c r="AI599" s="192"/>
      <c r="AJ599" s="192"/>
      <c r="AK599" s="192"/>
      <c r="AL599" s="192"/>
      <c r="AM599" s="192"/>
      <c r="AN599" s="192"/>
      <c r="AO599" s="192"/>
      <c r="AP599" s="192"/>
      <c r="AQ599" s="192"/>
      <c r="AR599" s="192"/>
      <c r="AS599" s="192"/>
      <c r="AT599" s="192"/>
      <c r="AU599" s="192"/>
      <c r="AV599" s="192"/>
    </row>
    <row r="600">
      <c r="A600" s="192"/>
      <c r="B600" s="192"/>
      <c r="C600" s="192"/>
      <c r="D600" s="192"/>
      <c r="E600" s="192"/>
      <c r="F600" s="192"/>
      <c r="G600" s="192"/>
      <c r="H600" s="192"/>
      <c r="I600" s="192"/>
      <c r="J600" s="192"/>
      <c r="K600" s="192"/>
      <c r="L600" s="192"/>
      <c r="M600" s="192"/>
      <c r="N600" s="192"/>
      <c r="O600" s="192"/>
      <c r="P600" s="192"/>
      <c r="Q600" s="192"/>
      <c r="R600" s="192"/>
      <c r="S600" s="192"/>
      <c r="T600" s="192"/>
      <c r="U600" s="192"/>
      <c r="V600" s="192"/>
      <c r="W600" s="192"/>
      <c r="X600" s="192"/>
      <c r="Y600" s="192"/>
      <c r="Z600" s="192"/>
      <c r="AA600" s="192"/>
      <c r="AB600" s="192"/>
      <c r="AC600" s="192"/>
      <c r="AD600" s="192"/>
      <c r="AE600" s="192"/>
      <c r="AF600" s="192"/>
      <c r="AG600" s="192"/>
      <c r="AH600" s="192"/>
      <c r="AI600" s="192"/>
      <c r="AJ600" s="192"/>
      <c r="AK600" s="192"/>
      <c r="AL600" s="192"/>
      <c r="AM600" s="192"/>
      <c r="AN600" s="192"/>
      <c r="AO600" s="192"/>
      <c r="AP600" s="192"/>
      <c r="AQ600" s="192"/>
      <c r="AR600" s="192"/>
      <c r="AS600" s="192"/>
      <c r="AT600" s="192"/>
      <c r="AU600" s="192"/>
      <c r="AV600" s="192"/>
    </row>
    <row r="601">
      <c r="A601" s="192"/>
      <c r="B601" s="192"/>
      <c r="C601" s="192"/>
      <c r="D601" s="192"/>
      <c r="E601" s="192"/>
      <c r="F601" s="192"/>
      <c r="G601" s="192"/>
      <c r="H601" s="192"/>
      <c r="I601" s="192"/>
      <c r="J601" s="192"/>
      <c r="K601" s="192"/>
      <c r="L601" s="192"/>
      <c r="M601" s="192"/>
      <c r="N601" s="192"/>
      <c r="O601" s="192"/>
      <c r="P601" s="192"/>
      <c r="Q601" s="192"/>
      <c r="R601" s="192"/>
      <c r="S601" s="192"/>
      <c r="T601" s="192"/>
      <c r="U601" s="192"/>
      <c r="V601" s="192"/>
      <c r="W601" s="192"/>
      <c r="X601" s="192"/>
      <c r="Y601" s="192"/>
      <c r="Z601" s="192"/>
      <c r="AA601" s="192"/>
      <c r="AB601" s="192"/>
      <c r="AC601" s="192"/>
      <c r="AD601" s="192"/>
      <c r="AE601" s="192"/>
      <c r="AF601" s="192"/>
      <c r="AG601" s="192"/>
      <c r="AH601" s="192"/>
      <c r="AI601" s="192"/>
      <c r="AJ601" s="192"/>
      <c r="AK601" s="192"/>
      <c r="AL601" s="192"/>
      <c r="AM601" s="192"/>
      <c r="AN601" s="192"/>
      <c r="AO601" s="192"/>
      <c r="AP601" s="192"/>
      <c r="AQ601" s="192"/>
      <c r="AR601" s="192"/>
      <c r="AS601" s="192"/>
      <c r="AT601" s="192"/>
      <c r="AU601" s="192"/>
      <c r="AV601" s="192"/>
    </row>
    <row r="602">
      <c r="A602" s="192"/>
      <c r="B602" s="192"/>
      <c r="C602" s="192"/>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2"/>
      <c r="AA602" s="192"/>
      <c r="AB602" s="192"/>
      <c r="AC602" s="192"/>
      <c r="AD602" s="192"/>
      <c r="AE602" s="192"/>
      <c r="AF602" s="192"/>
      <c r="AG602" s="192"/>
      <c r="AH602" s="192"/>
      <c r="AI602" s="192"/>
      <c r="AJ602" s="192"/>
      <c r="AK602" s="192"/>
      <c r="AL602" s="192"/>
      <c r="AM602" s="192"/>
      <c r="AN602" s="192"/>
      <c r="AO602" s="192"/>
      <c r="AP602" s="192"/>
      <c r="AQ602" s="192"/>
      <c r="AR602" s="192"/>
      <c r="AS602" s="192"/>
      <c r="AT602" s="192"/>
      <c r="AU602" s="192"/>
      <c r="AV602" s="192"/>
    </row>
    <row r="603">
      <c r="A603" s="192"/>
      <c r="B603" s="192"/>
      <c r="C603" s="192"/>
      <c r="D603" s="192"/>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2"/>
      <c r="AA603" s="192"/>
      <c r="AB603" s="192"/>
      <c r="AC603" s="192"/>
      <c r="AD603" s="192"/>
      <c r="AE603" s="192"/>
      <c r="AF603" s="192"/>
      <c r="AG603" s="192"/>
      <c r="AH603" s="192"/>
      <c r="AI603" s="192"/>
      <c r="AJ603" s="192"/>
      <c r="AK603" s="192"/>
      <c r="AL603" s="192"/>
      <c r="AM603" s="192"/>
      <c r="AN603" s="192"/>
      <c r="AO603" s="192"/>
      <c r="AP603" s="192"/>
      <c r="AQ603" s="192"/>
      <c r="AR603" s="192"/>
      <c r="AS603" s="192"/>
      <c r="AT603" s="192"/>
      <c r="AU603" s="192"/>
      <c r="AV603" s="192"/>
    </row>
    <row r="604">
      <c r="A604" s="192"/>
      <c r="B604" s="192"/>
      <c r="C604" s="192"/>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2"/>
      <c r="AA604" s="192"/>
      <c r="AB604" s="192"/>
      <c r="AC604" s="192"/>
      <c r="AD604" s="192"/>
      <c r="AE604" s="192"/>
      <c r="AF604" s="192"/>
      <c r="AG604" s="192"/>
      <c r="AH604" s="192"/>
      <c r="AI604" s="192"/>
      <c r="AJ604" s="192"/>
      <c r="AK604" s="192"/>
      <c r="AL604" s="192"/>
      <c r="AM604" s="192"/>
      <c r="AN604" s="192"/>
      <c r="AO604" s="192"/>
      <c r="AP604" s="192"/>
      <c r="AQ604" s="192"/>
      <c r="AR604" s="192"/>
      <c r="AS604" s="192"/>
      <c r="AT604" s="192"/>
      <c r="AU604" s="192"/>
      <c r="AV604" s="192"/>
    </row>
    <row r="605">
      <c r="A605" s="192"/>
      <c r="B605" s="192"/>
      <c r="C605" s="192"/>
      <c r="D605" s="192"/>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2"/>
      <c r="AA605" s="192"/>
      <c r="AB605" s="192"/>
      <c r="AC605" s="192"/>
      <c r="AD605" s="192"/>
      <c r="AE605" s="192"/>
      <c r="AF605" s="192"/>
      <c r="AG605" s="192"/>
      <c r="AH605" s="192"/>
      <c r="AI605" s="192"/>
      <c r="AJ605" s="192"/>
      <c r="AK605" s="192"/>
      <c r="AL605" s="192"/>
      <c r="AM605" s="192"/>
      <c r="AN605" s="192"/>
      <c r="AO605" s="192"/>
      <c r="AP605" s="192"/>
      <c r="AQ605" s="192"/>
      <c r="AR605" s="192"/>
      <c r="AS605" s="192"/>
      <c r="AT605" s="192"/>
      <c r="AU605" s="192"/>
      <c r="AV605" s="192"/>
    </row>
    <row r="606">
      <c r="A606" s="192"/>
      <c r="B606" s="192"/>
      <c r="C606" s="192"/>
      <c r="D606" s="192"/>
      <c r="E606" s="192"/>
      <c r="F606" s="192"/>
      <c r="G606" s="192"/>
      <c r="H606" s="192"/>
      <c r="I606" s="192"/>
      <c r="J606" s="192"/>
      <c r="K606" s="192"/>
      <c r="L606" s="192"/>
      <c r="M606" s="192"/>
      <c r="N606" s="192"/>
      <c r="O606" s="192"/>
      <c r="P606" s="192"/>
      <c r="Q606" s="192"/>
      <c r="R606" s="192"/>
      <c r="S606" s="192"/>
      <c r="T606" s="192"/>
      <c r="U606" s="192"/>
      <c r="V606" s="192"/>
      <c r="W606" s="192"/>
      <c r="X606" s="192"/>
      <c r="Y606" s="192"/>
      <c r="Z606" s="192"/>
      <c r="AA606" s="192"/>
      <c r="AB606" s="192"/>
      <c r="AC606" s="192"/>
      <c r="AD606" s="192"/>
      <c r="AE606" s="192"/>
      <c r="AF606" s="192"/>
      <c r="AG606" s="192"/>
      <c r="AH606" s="192"/>
      <c r="AI606" s="192"/>
      <c r="AJ606" s="192"/>
      <c r="AK606" s="192"/>
      <c r="AL606" s="192"/>
      <c r="AM606" s="192"/>
      <c r="AN606" s="192"/>
      <c r="AO606" s="192"/>
      <c r="AP606" s="192"/>
      <c r="AQ606" s="192"/>
      <c r="AR606" s="192"/>
      <c r="AS606" s="192"/>
      <c r="AT606" s="192"/>
      <c r="AU606" s="192"/>
      <c r="AV606" s="192"/>
    </row>
    <row r="607">
      <c r="A607" s="192"/>
      <c r="B607" s="192"/>
      <c r="C607" s="192"/>
      <c r="D607" s="192"/>
      <c r="E607" s="192"/>
      <c r="F607" s="192"/>
      <c r="G607" s="192"/>
      <c r="H607" s="192"/>
      <c r="I607" s="192"/>
      <c r="J607" s="192"/>
      <c r="K607" s="192"/>
      <c r="L607" s="192"/>
      <c r="M607" s="192"/>
      <c r="N607" s="192"/>
      <c r="O607" s="192"/>
      <c r="P607" s="192"/>
      <c r="Q607" s="192"/>
      <c r="R607" s="192"/>
      <c r="S607" s="192"/>
      <c r="T607" s="192"/>
      <c r="U607" s="192"/>
      <c r="V607" s="192"/>
      <c r="W607" s="192"/>
      <c r="X607" s="192"/>
      <c r="Y607" s="192"/>
      <c r="Z607" s="192"/>
      <c r="AA607" s="192"/>
      <c r="AB607" s="192"/>
      <c r="AC607" s="192"/>
      <c r="AD607" s="192"/>
      <c r="AE607" s="192"/>
      <c r="AF607" s="192"/>
      <c r="AG607" s="192"/>
      <c r="AH607" s="192"/>
      <c r="AI607" s="192"/>
      <c r="AJ607" s="192"/>
      <c r="AK607" s="192"/>
      <c r="AL607" s="192"/>
      <c r="AM607" s="192"/>
      <c r="AN607" s="192"/>
      <c r="AO607" s="192"/>
      <c r="AP607" s="192"/>
      <c r="AQ607" s="192"/>
      <c r="AR607" s="192"/>
      <c r="AS607" s="192"/>
      <c r="AT607" s="192"/>
      <c r="AU607" s="192"/>
      <c r="AV607" s="192"/>
    </row>
    <row r="608">
      <c r="A608" s="192"/>
      <c r="B608" s="192"/>
      <c r="C608" s="192"/>
      <c r="D608" s="192"/>
      <c r="E608" s="192"/>
      <c r="F608" s="192"/>
      <c r="G608" s="192"/>
      <c r="H608" s="192"/>
      <c r="I608" s="192"/>
      <c r="J608" s="192"/>
      <c r="K608" s="192"/>
      <c r="L608" s="192"/>
      <c r="M608" s="192"/>
      <c r="N608" s="192"/>
      <c r="O608" s="192"/>
      <c r="P608" s="192"/>
      <c r="Q608" s="192"/>
      <c r="R608" s="192"/>
      <c r="S608" s="192"/>
      <c r="T608" s="192"/>
      <c r="U608" s="192"/>
      <c r="V608" s="192"/>
      <c r="W608" s="192"/>
      <c r="X608" s="192"/>
      <c r="Y608" s="192"/>
      <c r="Z608" s="192"/>
      <c r="AA608" s="192"/>
      <c r="AB608" s="192"/>
      <c r="AC608" s="192"/>
      <c r="AD608" s="192"/>
      <c r="AE608" s="192"/>
      <c r="AF608" s="192"/>
      <c r="AG608" s="192"/>
      <c r="AH608" s="192"/>
      <c r="AI608" s="192"/>
      <c r="AJ608" s="192"/>
      <c r="AK608" s="192"/>
      <c r="AL608" s="192"/>
      <c r="AM608" s="192"/>
      <c r="AN608" s="192"/>
      <c r="AO608" s="192"/>
      <c r="AP608" s="192"/>
      <c r="AQ608" s="192"/>
      <c r="AR608" s="192"/>
      <c r="AS608" s="192"/>
      <c r="AT608" s="192"/>
      <c r="AU608" s="192"/>
      <c r="AV608" s="192"/>
    </row>
    <row r="609">
      <c r="A609" s="192"/>
      <c r="B609" s="192"/>
      <c r="C609" s="192"/>
      <c r="D609" s="192"/>
      <c r="E609" s="192"/>
      <c r="F609" s="192"/>
      <c r="G609" s="192"/>
      <c r="H609" s="192"/>
      <c r="I609" s="192"/>
      <c r="J609" s="192"/>
      <c r="K609" s="192"/>
      <c r="L609" s="192"/>
      <c r="M609" s="192"/>
      <c r="N609" s="192"/>
      <c r="O609" s="192"/>
      <c r="P609" s="192"/>
      <c r="Q609" s="192"/>
      <c r="R609" s="192"/>
      <c r="S609" s="192"/>
      <c r="T609" s="192"/>
      <c r="U609" s="192"/>
      <c r="V609" s="192"/>
      <c r="W609" s="192"/>
      <c r="X609" s="192"/>
      <c r="Y609" s="192"/>
      <c r="Z609" s="192"/>
      <c r="AA609" s="192"/>
      <c r="AB609" s="192"/>
      <c r="AC609" s="192"/>
      <c r="AD609" s="192"/>
      <c r="AE609" s="192"/>
      <c r="AF609" s="192"/>
      <c r="AG609" s="192"/>
      <c r="AH609" s="192"/>
      <c r="AI609" s="192"/>
      <c r="AJ609" s="192"/>
      <c r="AK609" s="192"/>
      <c r="AL609" s="192"/>
      <c r="AM609" s="192"/>
      <c r="AN609" s="192"/>
      <c r="AO609" s="192"/>
      <c r="AP609" s="192"/>
      <c r="AQ609" s="192"/>
      <c r="AR609" s="192"/>
      <c r="AS609" s="192"/>
      <c r="AT609" s="192"/>
      <c r="AU609" s="192"/>
      <c r="AV609" s="192"/>
    </row>
    <row r="610">
      <c r="A610" s="192"/>
      <c r="B610" s="192"/>
      <c r="C610" s="192"/>
      <c r="D610" s="192"/>
      <c r="E610" s="192"/>
      <c r="F610" s="192"/>
      <c r="G610" s="192"/>
      <c r="H610" s="192"/>
      <c r="I610" s="192"/>
      <c r="J610" s="192"/>
      <c r="K610" s="192"/>
      <c r="L610" s="192"/>
      <c r="M610" s="192"/>
      <c r="N610" s="192"/>
      <c r="O610" s="192"/>
      <c r="P610" s="192"/>
      <c r="Q610" s="192"/>
      <c r="R610" s="192"/>
      <c r="S610" s="192"/>
      <c r="T610" s="192"/>
      <c r="U610" s="192"/>
      <c r="V610" s="192"/>
      <c r="W610" s="192"/>
      <c r="X610" s="192"/>
      <c r="Y610" s="192"/>
      <c r="Z610" s="192"/>
      <c r="AA610" s="192"/>
      <c r="AB610" s="192"/>
      <c r="AC610" s="192"/>
      <c r="AD610" s="192"/>
      <c r="AE610" s="192"/>
      <c r="AF610" s="192"/>
      <c r="AG610" s="192"/>
      <c r="AH610" s="192"/>
      <c r="AI610" s="192"/>
      <c r="AJ610" s="192"/>
      <c r="AK610" s="192"/>
      <c r="AL610" s="192"/>
      <c r="AM610" s="192"/>
      <c r="AN610" s="192"/>
      <c r="AO610" s="192"/>
      <c r="AP610" s="192"/>
      <c r="AQ610" s="192"/>
      <c r="AR610" s="192"/>
      <c r="AS610" s="192"/>
      <c r="AT610" s="192"/>
      <c r="AU610" s="192"/>
      <c r="AV610" s="192"/>
    </row>
    <row r="611">
      <c r="A611" s="192"/>
      <c r="B611" s="192"/>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c r="Z611" s="192"/>
      <c r="AA611" s="192"/>
      <c r="AB611" s="192"/>
      <c r="AC611" s="192"/>
      <c r="AD611" s="192"/>
      <c r="AE611" s="192"/>
      <c r="AF611" s="192"/>
      <c r="AG611" s="192"/>
      <c r="AH611" s="192"/>
      <c r="AI611" s="192"/>
      <c r="AJ611" s="192"/>
      <c r="AK611" s="192"/>
      <c r="AL611" s="192"/>
      <c r="AM611" s="192"/>
      <c r="AN611" s="192"/>
      <c r="AO611" s="192"/>
      <c r="AP611" s="192"/>
      <c r="AQ611" s="192"/>
      <c r="AR611" s="192"/>
      <c r="AS611" s="192"/>
      <c r="AT611" s="192"/>
      <c r="AU611" s="192"/>
      <c r="AV611" s="192"/>
    </row>
    <row r="612">
      <c r="A612" s="192"/>
      <c r="B612" s="192"/>
      <c r="C612" s="192"/>
      <c r="D612" s="192"/>
      <c r="E612" s="192"/>
      <c r="F612" s="192"/>
      <c r="G612" s="192"/>
      <c r="H612" s="192"/>
      <c r="I612" s="192"/>
      <c r="J612" s="192"/>
      <c r="K612" s="192"/>
      <c r="L612" s="192"/>
      <c r="M612" s="192"/>
      <c r="N612" s="192"/>
      <c r="O612" s="192"/>
      <c r="P612" s="192"/>
      <c r="Q612" s="192"/>
      <c r="R612" s="192"/>
      <c r="S612" s="192"/>
      <c r="T612" s="192"/>
      <c r="U612" s="192"/>
      <c r="V612" s="192"/>
      <c r="W612" s="192"/>
      <c r="X612" s="192"/>
      <c r="Y612" s="192"/>
      <c r="Z612" s="192"/>
      <c r="AA612" s="192"/>
      <c r="AB612" s="192"/>
      <c r="AC612" s="192"/>
      <c r="AD612" s="192"/>
      <c r="AE612" s="192"/>
      <c r="AF612" s="192"/>
      <c r="AG612" s="192"/>
      <c r="AH612" s="192"/>
      <c r="AI612" s="192"/>
      <c r="AJ612" s="192"/>
      <c r="AK612" s="192"/>
      <c r="AL612" s="192"/>
      <c r="AM612" s="192"/>
      <c r="AN612" s="192"/>
      <c r="AO612" s="192"/>
      <c r="AP612" s="192"/>
      <c r="AQ612" s="192"/>
      <c r="AR612" s="192"/>
      <c r="AS612" s="192"/>
      <c r="AT612" s="192"/>
      <c r="AU612" s="192"/>
      <c r="AV612" s="192"/>
    </row>
    <row r="613">
      <c r="A613" s="192"/>
      <c r="B613" s="192"/>
      <c r="C613" s="192"/>
      <c r="D613" s="192"/>
      <c r="E613" s="192"/>
      <c r="F613" s="192"/>
      <c r="G613" s="192"/>
      <c r="H613" s="192"/>
      <c r="I613" s="192"/>
      <c r="J613" s="192"/>
      <c r="K613" s="192"/>
      <c r="L613" s="192"/>
      <c r="M613" s="192"/>
      <c r="N613" s="192"/>
      <c r="O613" s="192"/>
      <c r="P613" s="192"/>
      <c r="Q613" s="192"/>
      <c r="R613" s="192"/>
      <c r="S613" s="192"/>
      <c r="T613" s="192"/>
      <c r="U613" s="192"/>
      <c r="V613" s="192"/>
      <c r="W613" s="192"/>
      <c r="X613" s="192"/>
      <c r="Y613" s="192"/>
      <c r="Z613" s="192"/>
      <c r="AA613" s="192"/>
      <c r="AB613" s="192"/>
      <c r="AC613" s="192"/>
      <c r="AD613" s="192"/>
      <c r="AE613" s="192"/>
      <c r="AF613" s="192"/>
      <c r="AG613" s="192"/>
      <c r="AH613" s="192"/>
      <c r="AI613" s="192"/>
      <c r="AJ613" s="192"/>
      <c r="AK613" s="192"/>
      <c r="AL613" s="192"/>
      <c r="AM613" s="192"/>
      <c r="AN613" s="192"/>
      <c r="AO613" s="192"/>
      <c r="AP613" s="192"/>
      <c r="AQ613" s="192"/>
      <c r="AR613" s="192"/>
      <c r="AS613" s="192"/>
      <c r="AT613" s="192"/>
      <c r="AU613" s="192"/>
      <c r="AV613" s="192"/>
    </row>
    <row r="614">
      <c r="A614" s="192"/>
      <c r="B614" s="192"/>
      <c r="C614" s="192"/>
      <c r="D614" s="192"/>
      <c r="E614" s="192"/>
      <c r="F614" s="192"/>
      <c r="G614" s="192"/>
      <c r="H614" s="192"/>
      <c r="I614" s="192"/>
      <c r="J614" s="192"/>
      <c r="K614" s="192"/>
      <c r="L614" s="192"/>
      <c r="M614" s="192"/>
      <c r="N614" s="192"/>
      <c r="O614" s="192"/>
      <c r="P614" s="192"/>
      <c r="Q614" s="192"/>
      <c r="R614" s="192"/>
      <c r="S614" s="192"/>
      <c r="T614" s="192"/>
      <c r="U614" s="192"/>
      <c r="V614" s="192"/>
      <c r="W614" s="192"/>
      <c r="X614" s="192"/>
      <c r="Y614" s="192"/>
      <c r="Z614" s="192"/>
      <c r="AA614" s="192"/>
      <c r="AB614" s="192"/>
      <c r="AC614" s="192"/>
      <c r="AD614" s="192"/>
      <c r="AE614" s="192"/>
      <c r="AF614" s="192"/>
      <c r="AG614" s="192"/>
      <c r="AH614" s="192"/>
      <c r="AI614" s="192"/>
      <c r="AJ614" s="192"/>
      <c r="AK614" s="192"/>
      <c r="AL614" s="192"/>
      <c r="AM614" s="192"/>
      <c r="AN614" s="192"/>
      <c r="AO614" s="192"/>
      <c r="AP614" s="192"/>
      <c r="AQ614" s="192"/>
      <c r="AR614" s="192"/>
      <c r="AS614" s="192"/>
      <c r="AT614" s="192"/>
      <c r="AU614" s="192"/>
      <c r="AV614" s="192"/>
    </row>
    <row r="615">
      <c r="A615" s="192"/>
      <c r="B615" s="192"/>
      <c r="C615" s="192"/>
      <c r="D615" s="192"/>
      <c r="E615" s="192"/>
      <c r="F615" s="192"/>
      <c r="G615" s="192"/>
      <c r="H615" s="192"/>
      <c r="I615" s="192"/>
      <c r="J615" s="192"/>
      <c r="K615" s="192"/>
      <c r="L615" s="192"/>
      <c r="M615" s="192"/>
      <c r="N615" s="192"/>
      <c r="O615" s="192"/>
      <c r="P615" s="192"/>
      <c r="Q615" s="192"/>
      <c r="R615" s="192"/>
      <c r="S615" s="192"/>
      <c r="T615" s="192"/>
      <c r="U615" s="192"/>
      <c r="V615" s="192"/>
      <c r="W615" s="192"/>
      <c r="X615" s="192"/>
      <c r="Y615" s="192"/>
      <c r="Z615" s="192"/>
      <c r="AA615" s="192"/>
      <c r="AB615" s="192"/>
      <c r="AC615" s="192"/>
      <c r="AD615" s="192"/>
      <c r="AE615" s="192"/>
      <c r="AF615" s="192"/>
      <c r="AG615" s="192"/>
      <c r="AH615" s="192"/>
      <c r="AI615" s="192"/>
      <c r="AJ615" s="192"/>
      <c r="AK615" s="192"/>
      <c r="AL615" s="192"/>
      <c r="AM615" s="192"/>
      <c r="AN615" s="192"/>
      <c r="AO615" s="192"/>
      <c r="AP615" s="192"/>
      <c r="AQ615" s="192"/>
      <c r="AR615" s="192"/>
      <c r="AS615" s="192"/>
      <c r="AT615" s="192"/>
      <c r="AU615" s="192"/>
      <c r="AV615" s="192"/>
    </row>
    <row r="616">
      <c r="A616" s="192"/>
      <c r="B616" s="192"/>
      <c r="C616" s="192"/>
      <c r="D616" s="192"/>
      <c r="E616" s="192"/>
      <c r="F616" s="192"/>
      <c r="G616" s="192"/>
      <c r="H616" s="192"/>
      <c r="I616" s="192"/>
      <c r="J616" s="192"/>
      <c r="K616" s="192"/>
      <c r="L616" s="192"/>
      <c r="M616" s="192"/>
      <c r="N616" s="192"/>
      <c r="O616" s="192"/>
      <c r="P616" s="192"/>
      <c r="Q616" s="192"/>
      <c r="R616" s="192"/>
      <c r="S616" s="192"/>
      <c r="T616" s="192"/>
      <c r="U616" s="192"/>
      <c r="V616" s="192"/>
      <c r="W616" s="192"/>
      <c r="X616" s="192"/>
      <c r="Y616" s="192"/>
      <c r="Z616" s="192"/>
      <c r="AA616" s="192"/>
      <c r="AB616" s="192"/>
      <c r="AC616" s="192"/>
      <c r="AD616" s="192"/>
      <c r="AE616" s="192"/>
      <c r="AF616" s="192"/>
      <c r="AG616" s="192"/>
      <c r="AH616" s="192"/>
      <c r="AI616" s="192"/>
      <c r="AJ616" s="192"/>
      <c r="AK616" s="192"/>
      <c r="AL616" s="192"/>
      <c r="AM616" s="192"/>
      <c r="AN616" s="192"/>
      <c r="AO616" s="192"/>
      <c r="AP616" s="192"/>
      <c r="AQ616" s="192"/>
      <c r="AR616" s="192"/>
      <c r="AS616" s="192"/>
      <c r="AT616" s="192"/>
      <c r="AU616" s="192"/>
      <c r="AV616" s="192"/>
    </row>
    <row r="617">
      <c r="A617" s="192"/>
      <c r="B617" s="192"/>
      <c r="C617" s="192"/>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c r="Z617" s="192"/>
      <c r="AA617" s="192"/>
      <c r="AB617" s="192"/>
      <c r="AC617" s="192"/>
      <c r="AD617" s="192"/>
      <c r="AE617" s="192"/>
      <c r="AF617" s="192"/>
      <c r="AG617" s="192"/>
      <c r="AH617" s="192"/>
      <c r="AI617" s="192"/>
      <c r="AJ617" s="192"/>
      <c r="AK617" s="192"/>
      <c r="AL617" s="192"/>
      <c r="AM617" s="192"/>
      <c r="AN617" s="192"/>
      <c r="AO617" s="192"/>
      <c r="AP617" s="192"/>
      <c r="AQ617" s="192"/>
      <c r="AR617" s="192"/>
      <c r="AS617" s="192"/>
      <c r="AT617" s="192"/>
      <c r="AU617" s="192"/>
      <c r="AV617" s="192"/>
    </row>
    <row r="618">
      <c r="A618" s="192"/>
      <c r="B618" s="192"/>
      <c r="C618" s="192"/>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2"/>
      <c r="AA618" s="192"/>
      <c r="AB618" s="192"/>
      <c r="AC618" s="192"/>
      <c r="AD618" s="192"/>
      <c r="AE618" s="192"/>
      <c r="AF618" s="192"/>
      <c r="AG618" s="192"/>
      <c r="AH618" s="192"/>
      <c r="AI618" s="192"/>
      <c r="AJ618" s="192"/>
      <c r="AK618" s="192"/>
      <c r="AL618" s="192"/>
      <c r="AM618" s="192"/>
      <c r="AN618" s="192"/>
      <c r="AO618" s="192"/>
      <c r="AP618" s="192"/>
      <c r="AQ618" s="192"/>
      <c r="AR618" s="192"/>
      <c r="AS618" s="192"/>
      <c r="AT618" s="192"/>
      <c r="AU618" s="192"/>
      <c r="AV618" s="192"/>
    </row>
    <row r="619">
      <c r="A619" s="192"/>
      <c r="B619" s="192"/>
      <c r="C619" s="192"/>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2"/>
      <c r="AA619" s="192"/>
      <c r="AB619" s="192"/>
      <c r="AC619" s="192"/>
      <c r="AD619" s="192"/>
      <c r="AE619" s="192"/>
      <c r="AF619" s="192"/>
      <c r="AG619" s="192"/>
      <c r="AH619" s="192"/>
      <c r="AI619" s="192"/>
      <c r="AJ619" s="192"/>
      <c r="AK619" s="192"/>
      <c r="AL619" s="192"/>
      <c r="AM619" s="192"/>
      <c r="AN619" s="192"/>
      <c r="AO619" s="192"/>
      <c r="AP619" s="192"/>
      <c r="AQ619" s="192"/>
      <c r="AR619" s="192"/>
      <c r="AS619" s="192"/>
      <c r="AT619" s="192"/>
      <c r="AU619" s="192"/>
      <c r="AV619" s="192"/>
    </row>
    <row r="620">
      <c r="A620" s="192"/>
      <c r="B620" s="192"/>
      <c r="C620" s="192"/>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c r="Z620" s="192"/>
      <c r="AA620" s="192"/>
      <c r="AB620" s="192"/>
      <c r="AC620" s="192"/>
      <c r="AD620" s="192"/>
      <c r="AE620" s="192"/>
      <c r="AF620" s="192"/>
      <c r="AG620" s="192"/>
      <c r="AH620" s="192"/>
      <c r="AI620" s="192"/>
      <c r="AJ620" s="192"/>
      <c r="AK620" s="192"/>
      <c r="AL620" s="192"/>
      <c r="AM620" s="192"/>
      <c r="AN620" s="192"/>
      <c r="AO620" s="192"/>
      <c r="AP620" s="192"/>
      <c r="AQ620" s="192"/>
      <c r="AR620" s="192"/>
      <c r="AS620" s="192"/>
      <c r="AT620" s="192"/>
      <c r="AU620" s="192"/>
      <c r="AV620" s="192"/>
    </row>
    <row r="621">
      <c r="A621" s="192"/>
      <c r="B621" s="192"/>
      <c r="C621" s="192"/>
      <c r="D621" s="192"/>
      <c r="E621" s="192"/>
      <c r="F621" s="192"/>
      <c r="G621" s="192"/>
      <c r="H621" s="192"/>
      <c r="I621" s="192"/>
      <c r="J621" s="192"/>
      <c r="K621" s="192"/>
      <c r="L621" s="192"/>
      <c r="M621" s="192"/>
      <c r="N621" s="192"/>
      <c r="O621" s="192"/>
      <c r="P621" s="192"/>
      <c r="Q621" s="192"/>
      <c r="R621" s="192"/>
      <c r="S621" s="192"/>
      <c r="T621" s="192"/>
      <c r="U621" s="192"/>
      <c r="V621" s="192"/>
      <c r="W621" s="192"/>
      <c r="X621" s="192"/>
      <c r="Y621" s="192"/>
      <c r="Z621" s="192"/>
      <c r="AA621" s="192"/>
      <c r="AB621" s="192"/>
      <c r="AC621" s="192"/>
      <c r="AD621" s="192"/>
      <c r="AE621" s="192"/>
      <c r="AF621" s="192"/>
      <c r="AG621" s="192"/>
      <c r="AH621" s="192"/>
      <c r="AI621" s="192"/>
      <c r="AJ621" s="192"/>
      <c r="AK621" s="192"/>
      <c r="AL621" s="192"/>
      <c r="AM621" s="192"/>
      <c r="AN621" s="192"/>
      <c r="AO621" s="192"/>
      <c r="AP621" s="192"/>
      <c r="AQ621" s="192"/>
      <c r="AR621" s="192"/>
      <c r="AS621" s="192"/>
      <c r="AT621" s="192"/>
      <c r="AU621" s="192"/>
      <c r="AV621" s="192"/>
    </row>
    <row r="622">
      <c r="A622" s="192"/>
      <c r="B622" s="192"/>
      <c r="C622" s="192"/>
      <c r="D622" s="192"/>
      <c r="E622" s="192"/>
      <c r="F622" s="192"/>
      <c r="G622" s="192"/>
      <c r="H622" s="192"/>
      <c r="I622" s="192"/>
      <c r="J622" s="192"/>
      <c r="K622" s="192"/>
      <c r="L622" s="192"/>
      <c r="M622" s="192"/>
      <c r="N622" s="192"/>
      <c r="O622" s="192"/>
      <c r="P622" s="192"/>
      <c r="Q622" s="192"/>
      <c r="R622" s="192"/>
      <c r="S622" s="192"/>
      <c r="T622" s="192"/>
      <c r="U622" s="192"/>
      <c r="V622" s="192"/>
      <c r="W622" s="192"/>
      <c r="X622" s="192"/>
      <c r="Y622" s="192"/>
      <c r="Z622" s="192"/>
      <c r="AA622" s="192"/>
      <c r="AB622" s="192"/>
      <c r="AC622" s="192"/>
      <c r="AD622" s="192"/>
      <c r="AE622" s="192"/>
      <c r="AF622" s="192"/>
      <c r="AG622" s="192"/>
      <c r="AH622" s="192"/>
      <c r="AI622" s="192"/>
      <c r="AJ622" s="192"/>
      <c r="AK622" s="192"/>
      <c r="AL622" s="192"/>
      <c r="AM622" s="192"/>
      <c r="AN622" s="192"/>
      <c r="AO622" s="192"/>
      <c r="AP622" s="192"/>
      <c r="AQ622" s="192"/>
      <c r="AR622" s="192"/>
      <c r="AS622" s="192"/>
      <c r="AT622" s="192"/>
      <c r="AU622" s="192"/>
      <c r="AV622" s="192"/>
    </row>
    <row r="623">
      <c r="A623" s="192"/>
      <c r="B623" s="192"/>
      <c r="C623" s="192"/>
      <c r="D623" s="192"/>
      <c r="E623" s="192"/>
      <c r="F623" s="192"/>
      <c r="G623" s="192"/>
      <c r="H623" s="192"/>
      <c r="I623" s="192"/>
      <c r="J623" s="192"/>
      <c r="K623" s="192"/>
      <c r="L623" s="192"/>
      <c r="M623" s="192"/>
      <c r="N623" s="192"/>
      <c r="O623" s="192"/>
      <c r="P623" s="192"/>
      <c r="Q623" s="192"/>
      <c r="R623" s="192"/>
      <c r="S623" s="192"/>
      <c r="T623" s="192"/>
      <c r="U623" s="192"/>
      <c r="V623" s="192"/>
      <c r="W623" s="192"/>
      <c r="X623" s="192"/>
      <c r="Y623" s="192"/>
      <c r="Z623" s="192"/>
      <c r="AA623" s="192"/>
      <c r="AB623" s="192"/>
      <c r="AC623" s="192"/>
      <c r="AD623" s="192"/>
      <c r="AE623" s="192"/>
      <c r="AF623" s="192"/>
      <c r="AG623" s="192"/>
      <c r="AH623" s="192"/>
      <c r="AI623" s="192"/>
      <c r="AJ623" s="192"/>
      <c r="AK623" s="192"/>
      <c r="AL623" s="192"/>
      <c r="AM623" s="192"/>
      <c r="AN623" s="192"/>
      <c r="AO623" s="192"/>
      <c r="AP623" s="192"/>
      <c r="AQ623" s="192"/>
      <c r="AR623" s="192"/>
      <c r="AS623" s="192"/>
      <c r="AT623" s="192"/>
      <c r="AU623" s="192"/>
      <c r="AV623" s="192"/>
    </row>
    <row r="624">
      <c r="A624" s="192"/>
      <c r="B624" s="192"/>
      <c r="C624" s="192"/>
      <c r="D624" s="192"/>
      <c r="E624" s="192"/>
      <c r="F624" s="192"/>
      <c r="G624" s="192"/>
      <c r="H624" s="192"/>
      <c r="I624" s="192"/>
      <c r="J624" s="192"/>
      <c r="K624" s="192"/>
      <c r="L624" s="192"/>
      <c r="M624" s="192"/>
      <c r="N624" s="192"/>
      <c r="O624" s="192"/>
      <c r="P624" s="192"/>
      <c r="Q624" s="192"/>
      <c r="R624" s="192"/>
      <c r="S624" s="192"/>
      <c r="T624" s="192"/>
      <c r="U624" s="192"/>
      <c r="V624" s="192"/>
      <c r="W624" s="192"/>
      <c r="X624" s="192"/>
      <c r="Y624" s="192"/>
      <c r="Z624" s="192"/>
      <c r="AA624" s="192"/>
      <c r="AB624" s="192"/>
      <c r="AC624" s="192"/>
      <c r="AD624" s="192"/>
      <c r="AE624" s="192"/>
      <c r="AF624" s="192"/>
      <c r="AG624" s="192"/>
      <c r="AH624" s="192"/>
      <c r="AI624" s="192"/>
      <c r="AJ624" s="192"/>
      <c r="AK624" s="192"/>
      <c r="AL624" s="192"/>
      <c r="AM624" s="192"/>
      <c r="AN624" s="192"/>
      <c r="AO624" s="192"/>
      <c r="AP624" s="192"/>
      <c r="AQ624" s="192"/>
      <c r="AR624" s="192"/>
      <c r="AS624" s="192"/>
      <c r="AT624" s="192"/>
      <c r="AU624" s="192"/>
      <c r="AV624" s="192"/>
    </row>
    <row r="625">
      <c r="A625" s="192"/>
      <c r="B625" s="192"/>
      <c r="C625" s="192"/>
      <c r="D625" s="192"/>
      <c r="E625" s="192"/>
      <c r="F625" s="192"/>
      <c r="G625" s="192"/>
      <c r="H625" s="192"/>
      <c r="I625" s="192"/>
      <c r="J625" s="192"/>
      <c r="K625" s="192"/>
      <c r="L625" s="192"/>
      <c r="M625" s="192"/>
      <c r="N625" s="192"/>
      <c r="O625" s="192"/>
      <c r="P625" s="192"/>
      <c r="Q625" s="192"/>
      <c r="R625" s="192"/>
      <c r="S625" s="192"/>
      <c r="T625" s="192"/>
      <c r="U625" s="192"/>
      <c r="V625" s="192"/>
      <c r="W625" s="192"/>
      <c r="X625" s="192"/>
      <c r="Y625" s="192"/>
      <c r="Z625" s="192"/>
      <c r="AA625" s="192"/>
      <c r="AB625" s="192"/>
      <c r="AC625" s="192"/>
      <c r="AD625" s="192"/>
      <c r="AE625" s="192"/>
      <c r="AF625" s="192"/>
      <c r="AG625" s="192"/>
      <c r="AH625" s="192"/>
      <c r="AI625" s="192"/>
      <c r="AJ625" s="192"/>
      <c r="AK625" s="192"/>
      <c r="AL625" s="192"/>
      <c r="AM625" s="192"/>
      <c r="AN625" s="192"/>
      <c r="AO625" s="192"/>
      <c r="AP625" s="192"/>
      <c r="AQ625" s="192"/>
      <c r="AR625" s="192"/>
      <c r="AS625" s="192"/>
      <c r="AT625" s="192"/>
      <c r="AU625" s="192"/>
      <c r="AV625" s="192"/>
    </row>
    <row r="626">
      <c r="A626" s="192"/>
      <c r="B626" s="192"/>
      <c r="C626" s="192"/>
      <c r="D626" s="192"/>
      <c r="E626" s="192"/>
      <c r="F626" s="192"/>
      <c r="G626" s="192"/>
      <c r="H626" s="192"/>
      <c r="I626" s="192"/>
      <c r="J626" s="192"/>
      <c r="K626" s="192"/>
      <c r="L626" s="192"/>
      <c r="M626" s="192"/>
      <c r="N626" s="192"/>
      <c r="O626" s="192"/>
      <c r="P626" s="192"/>
      <c r="Q626" s="192"/>
      <c r="R626" s="192"/>
      <c r="S626" s="192"/>
      <c r="T626" s="192"/>
      <c r="U626" s="192"/>
      <c r="V626" s="192"/>
      <c r="W626" s="192"/>
      <c r="X626" s="192"/>
      <c r="Y626" s="192"/>
      <c r="Z626" s="192"/>
      <c r="AA626" s="192"/>
      <c r="AB626" s="192"/>
      <c r="AC626" s="192"/>
      <c r="AD626" s="192"/>
      <c r="AE626" s="192"/>
      <c r="AF626" s="192"/>
      <c r="AG626" s="192"/>
      <c r="AH626" s="192"/>
      <c r="AI626" s="192"/>
      <c r="AJ626" s="192"/>
      <c r="AK626" s="192"/>
      <c r="AL626" s="192"/>
      <c r="AM626" s="192"/>
      <c r="AN626" s="192"/>
      <c r="AO626" s="192"/>
      <c r="AP626" s="192"/>
      <c r="AQ626" s="192"/>
      <c r="AR626" s="192"/>
      <c r="AS626" s="192"/>
      <c r="AT626" s="192"/>
      <c r="AU626" s="192"/>
      <c r="AV626" s="192"/>
    </row>
    <row r="627">
      <c r="A627" s="192"/>
      <c r="B627" s="192"/>
      <c r="C627" s="192"/>
      <c r="D627" s="192"/>
      <c r="E627" s="192"/>
      <c r="F627" s="192"/>
      <c r="G627" s="192"/>
      <c r="H627" s="192"/>
      <c r="I627" s="192"/>
      <c r="J627" s="192"/>
      <c r="K627" s="192"/>
      <c r="L627" s="192"/>
      <c r="M627" s="192"/>
      <c r="N627" s="192"/>
      <c r="O627" s="192"/>
      <c r="P627" s="192"/>
      <c r="Q627" s="192"/>
      <c r="R627" s="192"/>
      <c r="S627" s="192"/>
      <c r="T627" s="192"/>
      <c r="U627" s="192"/>
      <c r="V627" s="192"/>
      <c r="W627" s="192"/>
      <c r="X627" s="192"/>
      <c r="Y627" s="192"/>
      <c r="Z627" s="192"/>
      <c r="AA627" s="192"/>
      <c r="AB627" s="192"/>
      <c r="AC627" s="192"/>
      <c r="AD627" s="192"/>
      <c r="AE627" s="192"/>
      <c r="AF627" s="192"/>
      <c r="AG627" s="192"/>
      <c r="AH627" s="192"/>
      <c r="AI627" s="192"/>
      <c r="AJ627" s="192"/>
      <c r="AK627" s="192"/>
      <c r="AL627" s="192"/>
      <c r="AM627" s="192"/>
      <c r="AN627" s="192"/>
      <c r="AO627" s="192"/>
      <c r="AP627" s="192"/>
      <c r="AQ627" s="192"/>
      <c r="AR627" s="192"/>
      <c r="AS627" s="192"/>
      <c r="AT627" s="192"/>
      <c r="AU627" s="192"/>
      <c r="AV627" s="192"/>
    </row>
    <row r="628">
      <c r="A628" s="192"/>
      <c r="B628" s="192"/>
      <c r="C628" s="192"/>
      <c r="D628" s="192"/>
      <c r="E628" s="192"/>
      <c r="F628" s="192"/>
      <c r="G628" s="192"/>
      <c r="H628" s="192"/>
      <c r="I628" s="192"/>
      <c r="J628" s="192"/>
      <c r="K628" s="192"/>
      <c r="L628" s="192"/>
      <c r="M628" s="192"/>
      <c r="N628" s="192"/>
      <c r="O628" s="192"/>
      <c r="P628" s="192"/>
      <c r="Q628" s="192"/>
      <c r="R628" s="192"/>
      <c r="S628" s="192"/>
      <c r="T628" s="192"/>
      <c r="U628" s="192"/>
      <c r="V628" s="192"/>
      <c r="W628" s="192"/>
      <c r="X628" s="192"/>
      <c r="Y628" s="192"/>
      <c r="Z628" s="192"/>
      <c r="AA628" s="192"/>
      <c r="AB628" s="192"/>
      <c r="AC628" s="192"/>
      <c r="AD628" s="192"/>
      <c r="AE628" s="192"/>
      <c r="AF628" s="192"/>
      <c r="AG628" s="192"/>
      <c r="AH628" s="192"/>
      <c r="AI628" s="192"/>
      <c r="AJ628" s="192"/>
      <c r="AK628" s="192"/>
      <c r="AL628" s="192"/>
      <c r="AM628" s="192"/>
      <c r="AN628" s="192"/>
      <c r="AO628" s="192"/>
      <c r="AP628" s="192"/>
      <c r="AQ628" s="192"/>
      <c r="AR628" s="192"/>
      <c r="AS628" s="192"/>
      <c r="AT628" s="192"/>
      <c r="AU628" s="192"/>
      <c r="AV628" s="192"/>
    </row>
    <row r="629">
      <c r="A629" s="192"/>
      <c r="B629" s="192"/>
      <c r="C629" s="192"/>
      <c r="D629" s="192"/>
      <c r="E629" s="192"/>
      <c r="F629" s="192"/>
      <c r="G629" s="192"/>
      <c r="H629" s="192"/>
      <c r="I629" s="192"/>
      <c r="J629" s="192"/>
      <c r="K629" s="192"/>
      <c r="L629" s="192"/>
      <c r="M629" s="192"/>
      <c r="N629" s="192"/>
      <c r="O629" s="192"/>
      <c r="P629" s="192"/>
      <c r="Q629" s="192"/>
      <c r="R629" s="192"/>
      <c r="S629" s="192"/>
      <c r="T629" s="192"/>
      <c r="U629" s="192"/>
      <c r="V629" s="192"/>
      <c r="W629" s="192"/>
      <c r="X629" s="192"/>
      <c r="Y629" s="192"/>
      <c r="Z629" s="192"/>
      <c r="AA629" s="192"/>
      <c r="AB629" s="192"/>
      <c r="AC629" s="192"/>
      <c r="AD629" s="192"/>
      <c r="AE629" s="192"/>
      <c r="AF629" s="192"/>
      <c r="AG629" s="192"/>
      <c r="AH629" s="192"/>
      <c r="AI629" s="192"/>
      <c r="AJ629" s="192"/>
      <c r="AK629" s="192"/>
      <c r="AL629" s="192"/>
      <c r="AM629" s="192"/>
      <c r="AN629" s="192"/>
      <c r="AO629" s="192"/>
      <c r="AP629" s="192"/>
      <c r="AQ629" s="192"/>
      <c r="AR629" s="192"/>
      <c r="AS629" s="192"/>
      <c r="AT629" s="192"/>
      <c r="AU629" s="192"/>
      <c r="AV629" s="192"/>
    </row>
    <row r="630">
      <c r="A630" s="192"/>
      <c r="B630" s="192"/>
      <c r="C630" s="192"/>
      <c r="D630" s="192"/>
      <c r="E630" s="192"/>
      <c r="F630" s="192"/>
      <c r="G630" s="192"/>
      <c r="H630" s="192"/>
      <c r="I630" s="192"/>
      <c r="J630" s="192"/>
      <c r="K630" s="192"/>
      <c r="L630" s="192"/>
      <c r="M630" s="192"/>
      <c r="N630" s="192"/>
      <c r="O630" s="192"/>
      <c r="P630" s="192"/>
      <c r="Q630" s="192"/>
      <c r="R630" s="192"/>
      <c r="S630" s="192"/>
      <c r="T630" s="192"/>
      <c r="U630" s="192"/>
      <c r="V630" s="192"/>
      <c r="W630" s="192"/>
      <c r="X630" s="192"/>
      <c r="Y630" s="192"/>
      <c r="Z630" s="192"/>
      <c r="AA630" s="192"/>
      <c r="AB630" s="192"/>
      <c r="AC630" s="192"/>
      <c r="AD630" s="192"/>
      <c r="AE630" s="192"/>
      <c r="AF630" s="192"/>
      <c r="AG630" s="192"/>
      <c r="AH630" s="192"/>
      <c r="AI630" s="192"/>
      <c r="AJ630" s="192"/>
      <c r="AK630" s="192"/>
      <c r="AL630" s="192"/>
      <c r="AM630" s="192"/>
      <c r="AN630" s="192"/>
      <c r="AO630" s="192"/>
      <c r="AP630" s="192"/>
      <c r="AQ630" s="192"/>
      <c r="AR630" s="192"/>
      <c r="AS630" s="192"/>
      <c r="AT630" s="192"/>
      <c r="AU630" s="192"/>
      <c r="AV630" s="192"/>
    </row>
    <row r="631">
      <c r="A631" s="192"/>
      <c r="B631" s="192"/>
      <c r="C631" s="192"/>
      <c r="D631" s="192"/>
      <c r="E631" s="192"/>
      <c r="F631" s="192"/>
      <c r="G631" s="192"/>
      <c r="H631" s="192"/>
      <c r="I631" s="192"/>
      <c r="J631" s="192"/>
      <c r="K631" s="192"/>
      <c r="L631" s="192"/>
      <c r="M631" s="192"/>
      <c r="N631" s="192"/>
      <c r="O631" s="192"/>
      <c r="P631" s="192"/>
      <c r="Q631" s="192"/>
      <c r="R631" s="192"/>
      <c r="S631" s="192"/>
      <c r="T631" s="192"/>
      <c r="U631" s="192"/>
      <c r="V631" s="192"/>
      <c r="W631" s="192"/>
      <c r="X631" s="192"/>
      <c r="Y631" s="192"/>
      <c r="Z631" s="192"/>
      <c r="AA631" s="192"/>
      <c r="AB631" s="192"/>
      <c r="AC631" s="192"/>
      <c r="AD631" s="192"/>
      <c r="AE631" s="192"/>
      <c r="AF631" s="192"/>
      <c r="AG631" s="192"/>
      <c r="AH631" s="192"/>
      <c r="AI631" s="192"/>
      <c r="AJ631" s="192"/>
      <c r="AK631" s="192"/>
      <c r="AL631" s="192"/>
      <c r="AM631" s="192"/>
      <c r="AN631" s="192"/>
      <c r="AO631" s="192"/>
      <c r="AP631" s="192"/>
      <c r="AQ631" s="192"/>
      <c r="AR631" s="192"/>
      <c r="AS631" s="192"/>
      <c r="AT631" s="192"/>
      <c r="AU631" s="192"/>
      <c r="AV631" s="192"/>
    </row>
    <row r="632">
      <c r="A632" s="192"/>
      <c r="B632" s="192"/>
      <c r="C632" s="192"/>
      <c r="D632" s="192"/>
      <c r="E632" s="192"/>
      <c r="F632" s="192"/>
      <c r="G632" s="192"/>
      <c r="H632" s="192"/>
      <c r="I632" s="192"/>
      <c r="J632" s="192"/>
      <c r="K632" s="192"/>
      <c r="L632" s="192"/>
      <c r="M632" s="192"/>
      <c r="N632" s="192"/>
      <c r="O632" s="192"/>
      <c r="P632" s="192"/>
      <c r="Q632" s="192"/>
      <c r="R632" s="192"/>
      <c r="S632" s="192"/>
      <c r="T632" s="192"/>
      <c r="U632" s="192"/>
      <c r="V632" s="192"/>
      <c r="W632" s="192"/>
      <c r="X632" s="192"/>
      <c r="Y632" s="192"/>
      <c r="Z632" s="192"/>
      <c r="AA632" s="192"/>
      <c r="AB632" s="192"/>
      <c r="AC632" s="192"/>
      <c r="AD632" s="192"/>
      <c r="AE632" s="192"/>
      <c r="AF632" s="192"/>
      <c r="AG632" s="192"/>
      <c r="AH632" s="192"/>
      <c r="AI632" s="192"/>
      <c r="AJ632" s="192"/>
      <c r="AK632" s="192"/>
      <c r="AL632" s="192"/>
      <c r="AM632" s="192"/>
      <c r="AN632" s="192"/>
      <c r="AO632" s="192"/>
      <c r="AP632" s="192"/>
      <c r="AQ632" s="192"/>
      <c r="AR632" s="192"/>
      <c r="AS632" s="192"/>
      <c r="AT632" s="192"/>
      <c r="AU632" s="192"/>
      <c r="AV632" s="192"/>
    </row>
    <row r="633">
      <c r="A633" s="192"/>
      <c r="B633" s="192"/>
      <c r="C633" s="192"/>
      <c r="D633" s="192"/>
      <c r="E633" s="192"/>
      <c r="F633" s="192"/>
      <c r="G633" s="192"/>
      <c r="H633" s="192"/>
      <c r="I633" s="192"/>
      <c r="J633" s="192"/>
      <c r="K633" s="192"/>
      <c r="L633" s="192"/>
      <c r="M633" s="192"/>
      <c r="N633" s="192"/>
      <c r="O633" s="192"/>
      <c r="P633" s="192"/>
      <c r="Q633" s="192"/>
      <c r="R633" s="192"/>
      <c r="S633" s="192"/>
      <c r="T633" s="192"/>
      <c r="U633" s="192"/>
      <c r="V633" s="192"/>
      <c r="W633" s="192"/>
      <c r="X633" s="192"/>
      <c r="Y633" s="192"/>
      <c r="Z633" s="192"/>
      <c r="AA633" s="192"/>
      <c r="AB633" s="192"/>
      <c r="AC633" s="192"/>
      <c r="AD633" s="192"/>
      <c r="AE633" s="192"/>
      <c r="AF633" s="192"/>
      <c r="AG633" s="192"/>
      <c r="AH633" s="192"/>
      <c r="AI633" s="192"/>
      <c r="AJ633" s="192"/>
      <c r="AK633" s="192"/>
      <c r="AL633" s="192"/>
      <c r="AM633" s="192"/>
      <c r="AN633" s="192"/>
      <c r="AO633" s="192"/>
      <c r="AP633" s="192"/>
      <c r="AQ633" s="192"/>
      <c r="AR633" s="192"/>
      <c r="AS633" s="192"/>
      <c r="AT633" s="192"/>
      <c r="AU633" s="192"/>
      <c r="AV633" s="192"/>
    </row>
    <row r="634">
      <c r="A634" s="192"/>
      <c r="B634" s="192"/>
      <c r="C634" s="192"/>
      <c r="D634" s="192"/>
      <c r="E634" s="192"/>
      <c r="F634" s="192"/>
      <c r="G634" s="192"/>
      <c r="H634" s="192"/>
      <c r="I634" s="192"/>
      <c r="J634" s="192"/>
      <c r="K634" s="192"/>
      <c r="L634" s="192"/>
      <c r="M634" s="192"/>
      <c r="N634" s="192"/>
      <c r="O634" s="192"/>
      <c r="P634" s="192"/>
      <c r="Q634" s="192"/>
      <c r="R634" s="192"/>
      <c r="S634" s="192"/>
      <c r="T634" s="192"/>
      <c r="U634" s="192"/>
      <c r="V634" s="192"/>
      <c r="W634" s="192"/>
      <c r="X634" s="192"/>
      <c r="Y634" s="192"/>
      <c r="Z634" s="192"/>
      <c r="AA634" s="192"/>
      <c r="AB634" s="192"/>
      <c r="AC634" s="192"/>
      <c r="AD634" s="192"/>
      <c r="AE634" s="192"/>
      <c r="AF634" s="192"/>
      <c r="AG634" s="192"/>
      <c r="AH634" s="192"/>
      <c r="AI634" s="192"/>
      <c r="AJ634" s="192"/>
      <c r="AK634" s="192"/>
      <c r="AL634" s="192"/>
      <c r="AM634" s="192"/>
      <c r="AN634" s="192"/>
      <c r="AO634" s="192"/>
      <c r="AP634" s="192"/>
      <c r="AQ634" s="192"/>
      <c r="AR634" s="192"/>
      <c r="AS634" s="192"/>
      <c r="AT634" s="192"/>
      <c r="AU634" s="192"/>
      <c r="AV634" s="192"/>
    </row>
    <row r="635">
      <c r="A635" s="192"/>
      <c r="B635" s="192"/>
      <c r="C635" s="192"/>
      <c r="D635" s="192"/>
      <c r="E635" s="192"/>
      <c r="F635" s="192"/>
      <c r="G635" s="192"/>
      <c r="H635" s="192"/>
      <c r="I635" s="192"/>
      <c r="J635" s="192"/>
      <c r="K635" s="192"/>
      <c r="L635" s="192"/>
      <c r="M635" s="192"/>
      <c r="N635" s="192"/>
      <c r="O635" s="192"/>
      <c r="P635" s="192"/>
      <c r="Q635" s="192"/>
      <c r="R635" s="192"/>
      <c r="S635" s="192"/>
      <c r="T635" s="192"/>
      <c r="U635" s="192"/>
      <c r="V635" s="192"/>
      <c r="W635" s="192"/>
      <c r="X635" s="192"/>
      <c r="Y635" s="192"/>
      <c r="Z635" s="192"/>
      <c r="AA635" s="192"/>
      <c r="AB635" s="192"/>
      <c r="AC635" s="192"/>
      <c r="AD635" s="192"/>
      <c r="AE635" s="192"/>
      <c r="AF635" s="192"/>
      <c r="AG635" s="192"/>
      <c r="AH635" s="192"/>
      <c r="AI635" s="192"/>
      <c r="AJ635" s="192"/>
      <c r="AK635" s="192"/>
      <c r="AL635" s="192"/>
      <c r="AM635" s="192"/>
      <c r="AN635" s="192"/>
      <c r="AO635" s="192"/>
      <c r="AP635" s="192"/>
      <c r="AQ635" s="192"/>
      <c r="AR635" s="192"/>
      <c r="AS635" s="192"/>
      <c r="AT635" s="192"/>
      <c r="AU635" s="192"/>
      <c r="AV635" s="192"/>
    </row>
    <row r="636">
      <c r="A636" s="192"/>
      <c r="B636" s="192"/>
      <c r="C636" s="192"/>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c r="Z636" s="192"/>
      <c r="AA636" s="192"/>
      <c r="AB636" s="192"/>
      <c r="AC636" s="192"/>
      <c r="AD636" s="192"/>
      <c r="AE636" s="192"/>
      <c r="AF636" s="192"/>
      <c r="AG636" s="192"/>
      <c r="AH636" s="192"/>
      <c r="AI636" s="192"/>
      <c r="AJ636" s="192"/>
      <c r="AK636" s="192"/>
      <c r="AL636" s="192"/>
      <c r="AM636" s="192"/>
      <c r="AN636" s="192"/>
      <c r="AO636" s="192"/>
      <c r="AP636" s="192"/>
      <c r="AQ636" s="192"/>
      <c r="AR636" s="192"/>
      <c r="AS636" s="192"/>
      <c r="AT636" s="192"/>
      <c r="AU636" s="192"/>
      <c r="AV636" s="192"/>
    </row>
    <row r="637">
      <c r="A637" s="192"/>
      <c r="B637" s="192"/>
      <c r="C637" s="192"/>
      <c r="D637" s="192"/>
      <c r="E637" s="192"/>
      <c r="F637" s="192"/>
      <c r="G637" s="192"/>
      <c r="H637" s="192"/>
      <c r="I637" s="192"/>
      <c r="J637" s="192"/>
      <c r="K637" s="192"/>
      <c r="L637" s="192"/>
      <c r="M637" s="192"/>
      <c r="N637" s="192"/>
      <c r="O637" s="192"/>
      <c r="P637" s="192"/>
      <c r="Q637" s="192"/>
      <c r="R637" s="192"/>
      <c r="S637" s="192"/>
      <c r="T637" s="192"/>
      <c r="U637" s="192"/>
      <c r="V637" s="192"/>
      <c r="W637" s="192"/>
      <c r="X637" s="192"/>
      <c r="Y637" s="192"/>
      <c r="Z637" s="192"/>
      <c r="AA637" s="192"/>
      <c r="AB637" s="192"/>
      <c r="AC637" s="192"/>
      <c r="AD637" s="192"/>
      <c r="AE637" s="192"/>
      <c r="AF637" s="192"/>
      <c r="AG637" s="192"/>
      <c r="AH637" s="192"/>
      <c r="AI637" s="192"/>
      <c r="AJ637" s="192"/>
      <c r="AK637" s="192"/>
      <c r="AL637" s="192"/>
      <c r="AM637" s="192"/>
      <c r="AN637" s="192"/>
      <c r="AO637" s="192"/>
      <c r="AP637" s="192"/>
      <c r="AQ637" s="192"/>
      <c r="AR637" s="192"/>
      <c r="AS637" s="192"/>
      <c r="AT637" s="192"/>
      <c r="AU637" s="192"/>
      <c r="AV637" s="192"/>
    </row>
    <row r="638">
      <c r="A638" s="192"/>
      <c r="B638" s="192"/>
      <c r="C638" s="192"/>
      <c r="D638" s="192"/>
      <c r="E638" s="192"/>
      <c r="F638" s="192"/>
      <c r="G638" s="192"/>
      <c r="H638" s="192"/>
      <c r="I638" s="192"/>
      <c r="J638" s="192"/>
      <c r="K638" s="192"/>
      <c r="L638" s="192"/>
      <c r="M638" s="192"/>
      <c r="N638" s="192"/>
      <c r="O638" s="192"/>
      <c r="P638" s="192"/>
      <c r="Q638" s="192"/>
      <c r="R638" s="192"/>
      <c r="S638" s="192"/>
      <c r="T638" s="192"/>
      <c r="U638" s="192"/>
      <c r="V638" s="192"/>
      <c r="W638" s="192"/>
      <c r="X638" s="192"/>
      <c r="Y638" s="192"/>
      <c r="Z638" s="192"/>
      <c r="AA638" s="192"/>
      <c r="AB638" s="192"/>
      <c r="AC638" s="192"/>
      <c r="AD638" s="192"/>
      <c r="AE638" s="192"/>
      <c r="AF638" s="192"/>
      <c r="AG638" s="192"/>
      <c r="AH638" s="192"/>
      <c r="AI638" s="192"/>
      <c r="AJ638" s="192"/>
      <c r="AK638" s="192"/>
      <c r="AL638" s="192"/>
      <c r="AM638" s="192"/>
      <c r="AN638" s="192"/>
      <c r="AO638" s="192"/>
      <c r="AP638" s="192"/>
      <c r="AQ638" s="192"/>
      <c r="AR638" s="192"/>
      <c r="AS638" s="192"/>
      <c r="AT638" s="192"/>
      <c r="AU638" s="192"/>
      <c r="AV638" s="192"/>
    </row>
    <row r="639">
      <c r="A639" s="192"/>
      <c r="B639" s="192"/>
      <c r="C639" s="192"/>
      <c r="D639" s="192"/>
      <c r="E639" s="192"/>
      <c r="F639" s="192"/>
      <c r="G639" s="192"/>
      <c r="H639" s="192"/>
      <c r="I639" s="192"/>
      <c r="J639" s="192"/>
      <c r="K639" s="192"/>
      <c r="L639" s="192"/>
      <c r="M639" s="192"/>
      <c r="N639" s="192"/>
      <c r="O639" s="192"/>
      <c r="P639" s="192"/>
      <c r="Q639" s="192"/>
      <c r="R639" s="192"/>
      <c r="S639" s="192"/>
      <c r="T639" s="192"/>
      <c r="U639" s="192"/>
      <c r="V639" s="192"/>
      <c r="W639" s="192"/>
      <c r="X639" s="192"/>
      <c r="Y639" s="192"/>
      <c r="Z639" s="192"/>
      <c r="AA639" s="192"/>
      <c r="AB639" s="192"/>
      <c r="AC639" s="192"/>
      <c r="AD639" s="192"/>
      <c r="AE639" s="192"/>
      <c r="AF639" s="192"/>
      <c r="AG639" s="192"/>
      <c r="AH639" s="192"/>
      <c r="AI639" s="192"/>
      <c r="AJ639" s="192"/>
      <c r="AK639" s="192"/>
      <c r="AL639" s="192"/>
      <c r="AM639" s="192"/>
      <c r="AN639" s="192"/>
      <c r="AO639" s="192"/>
      <c r="AP639" s="192"/>
      <c r="AQ639" s="192"/>
      <c r="AR639" s="192"/>
      <c r="AS639" s="192"/>
      <c r="AT639" s="192"/>
      <c r="AU639" s="192"/>
      <c r="AV639" s="192"/>
    </row>
    <row r="640">
      <c r="A640" s="192"/>
      <c r="B640" s="192"/>
      <c r="C640" s="192"/>
      <c r="D640" s="192"/>
      <c r="E640" s="192"/>
      <c r="F640" s="192"/>
      <c r="G640" s="192"/>
      <c r="H640" s="192"/>
      <c r="I640" s="192"/>
      <c r="J640" s="192"/>
      <c r="K640" s="192"/>
      <c r="L640" s="192"/>
      <c r="M640" s="192"/>
      <c r="N640" s="192"/>
      <c r="O640" s="192"/>
      <c r="P640" s="192"/>
      <c r="Q640" s="192"/>
      <c r="R640" s="192"/>
      <c r="S640" s="192"/>
      <c r="T640" s="192"/>
      <c r="U640" s="192"/>
      <c r="V640" s="192"/>
      <c r="W640" s="192"/>
      <c r="X640" s="192"/>
      <c r="Y640" s="192"/>
      <c r="Z640" s="192"/>
      <c r="AA640" s="192"/>
      <c r="AB640" s="192"/>
      <c r="AC640" s="192"/>
      <c r="AD640" s="192"/>
      <c r="AE640" s="192"/>
      <c r="AF640" s="192"/>
      <c r="AG640" s="192"/>
      <c r="AH640" s="192"/>
      <c r="AI640" s="192"/>
      <c r="AJ640" s="192"/>
      <c r="AK640" s="192"/>
      <c r="AL640" s="192"/>
      <c r="AM640" s="192"/>
      <c r="AN640" s="192"/>
      <c r="AO640" s="192"/>
      <c r="AP640" s="192"/>
      <c r="AQ640" s="192"/>
      <c r="AR640" s="192"/>
      <c r="AS640" s="192"/>
      <c r="AT640" s="192"/>
      <c r="AU640" s="192"/>
      <c r="AV640" s="192"/>
    </row>
    <row r="641">
      <c r="A641" s="192"/>
      <c r="B641" s="192"/>
      <c r="C641" s="192"/>
      <c r="D641" s="192"/>
      <c r="E641" s="192"/>
      <c r="F641" s="192"/>
      <c r="G641" s="192"/>
      <c r="H641" s="192"/>
      <c r="I641" s="192"/>
      <c r="J641" s="192"/>
      <c r="K641" s="192"/>
      <c r="L641" s="192"/>
      <c r="M641" s="192"/>
      <c r="N641" s="192"/>
      <c r="O641" s="192"/>
      <c r="P641" s="192"/>
      <c r="Q641" s="192"/>
      <c r="R641" s="192"/>
      <c r="S641" s="192"/>
      <c r="T641" s="192"/>
      <c r="U641" s="192"/>
      <c r="V641" s="192"/>
      <c r="W641" s="192"/>
      <c r="X641" s="192"/>
      <c r="Y641" s="192"/>
      <c r="Z641" s="192"/>
      <c r="AA641" s="192"/>
      <c r="AB641" s="192"/>
      <c r="AC641" s="192"/>
      <c r="AD641" s="192"/>
      <c r="AE641" s="192"/>
      <c r="AF641" s="192"/>
      <c r="AG641" s="192"/>
      <c r="AH641" s="192"/>
      <c r="AI641" s="192"/>
      <c r="AJ641" s="192"/>
      <c r="AK641" s="192"/>
      <c r="AL641" s="192"/>
      <c r="AM641" s="192"/>
      <c r="AN641" s="192"/>
      <c r="AO641" s="192"/>
      <c r="AP641" s="192"/>
      <c r="AQ641" s="192"/>
      <c r="AR641" s="192"/>
      <c r="AS641" s="192"/>
      <c r="AT641" s="192"/>
      <c r="AU641" s="192"/>
      <c r="AV641" s="192"/>
    </row>
    <row r="642">
      <c r="A642" s="192"/>
      <c r="B642" s="192"/>
      <c r="C642" s="192"/>
      <c r="D642" s="192"/>
      <c r="E642" s="192"/>
      <c r="F642" s="192"/>
      <c r="G642" s="192"/>
      <c r="H642" s="192"/>
      <c r="I642" s="192"/>
      <c r="J642" s="192"/>
      <c r="K642" s="192"/>
      <c r="L642" s="192"/>
      <c r="M642" s="192"/>
      <c r="N642" s="192"/>
      <c r="O642" s="192"/>
      <c r="P642" s="192"/>
      <c r="Q642" s="192"/>
      <c r="R642" s="192"/>
      <c r="S642" s="192"/>
      <c r="T642" s="192"/>
      <c r="U642" s="192"/>
      <c r="V642" s="192"/>
      <c r="W642" s="192"/>
      <c r="X642" s="192"/>
      <c r="Y642" s="192"/>
      <c r="Z642" s="192"/>
      <c r="AA642" s="192"/>
      <c r="AB642" s="192"/>
      <c r="AC642" s="192"/>
      <c r="AD642" s="192"/>
      <c r="AE642" s="192"/>
      <c r="AF642" s="192"/>
      <c r="AG642" s="192"/>
      <c r="AH642" s="192"/>
      <c r="AI642" s="192"/>
      <c r="AJ642" s="192"/>
      <c r="AK642" s="192"/>
      <c r="AL642" s="192"/>
      <c r="AM642" s="192"/>
      <c r="AN642" s="192"/>
      <c r="AO642" s="192"/>
      <c r="AP642" s="192"/>
      <c r="AQ642" s="192"/>
      <c r="AR642" s="192"/>
      <c r="AS642" s="192"/>
      <c r="AT642" s="192"/>
      <c r="AU642" s="192"/>
      <c r="AV642" s="192"/>
    </row>
    <row r="643">
      <c r="A643" s="192"/>
      <c r="B643" s="192"/>
      <c r="C643" s="192"/>
      <c r="D643" s="192"/>
      <c r="E643" s="192"/>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row>
    <row r="644">
      <c r="A644" s="192"/>
      <c r="B644" s="192"/>
      <c r="C644" s="192"/>
      <c r="D644" s="192"/>
      <c r="E644" s="192"/>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row>
    <row r="645">
      <c r="A645" s="192"/>
      <c r="B645" s="192"/>
      <c r="C645" s="192"/>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row>
    <row r="646">
      <c r="A646" s="192"/>
      <c r="B646" s="192"/>
      <c r="C646" s="192"/>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c r="Z646" s="192"/>
      <c r="AA646" s="192"/>
      <c r="AB646" s="192"/>
      <c r="AC646" s="192"/>
      <c r="AD646" s="192"/>
      <c r="AE646" s="192"/>
      <c r="AF646" s="192"/>
      <c r="AG646" s="192"/>
      <c r="AH646" s="192"/>
      <c r="AI646" s="192"/>
      <c r="AJ646" s="192"/>
      <c r="AK646" s="192"/>
      <c r="AL646" s="192"/>
      <c r="AM646" s="192"/>
      <c r="AN646" s="192"/>
      <c r="AO646" s="192"/>
      <c r="AP646" s="192"/>
      <c r="AQ646" s="192"/>
      <c r="AR646" s="192"/>
      <c r="AS646" s="192"/>
      <c r="AT646" s="192"/>
      <c r="AU646" s="192"/>
      <c r="AV646" s="192"/>
    </row>
    <row r="647">
      <c r="A647" s="192"/>
      <c r="B647" s="192"/>
      <c r="C647" s="192"/>
      <c r="D647" s="192"/>
      <c r="E647" s="192"/>
      <c r="F647" s="192"/>
      <c r="G647" s="192"/>
      <c r="H647" s="192"/>
      <c r="I647" s="192"/>
      <c r="J647" s="192"/>
      <c r="K647" s="192"/>
      <c r="L647" s="192"/>
      <c r="M647" s="192"/>
      <c r="N647" s="192"/>
      <c r="O647" s="192"/>
      <c r="P647" s="192"/>
      <c r="Q647" s="192"/>
      <c r="R647" s="192"/>
      <c r="S647" s="192"/>
      <c r="T647" s="192"/>
      <c r="U647" s="192"/>
      <c r="V647" s="192"/>
      <c r="W647" s="192"/>
      <c r="X647" s="192"/>
      <c r="Y647" s="192"/>
      <c r="Z647" s="192"/>
      <c r="AA647" s="192"/>
      <c r="AB647" s="192"/>
      <c r="AC647" s="192"/>
      <c r="AD647" s="192"/>
      <c r="AE647" s="192"/>
      <c r="AF647" s="192"/>
      <c r="AG647" s="192"/>
      <c r="AH647" s="192"/>
      <c r="AI647" s="192"/>
      <c r="AJ647" s="192"/>
      <c r="AK647" s="192"/>
      <c r="AL647" s="192"/>
      <c r="AM647" s="192"/>
      <c r="AN647" s="192"/>
      <c r="AO647" s="192"/>
      <c r="AP647" s="192"/>
      <c r="AQ647" s="192"/>
      <c r="AR647" s="192"/>
      <c r="AS647" s="192"/>
      <c r="AT647" s="192"/>
      <c r="AU647" s="192"/>
      <c r="AV647" s="192"/>
    </row>
    <row r="648">
      <c r="A648" s="192"/>
      <c r="B648" s="192"/>
      <c r="C648" s="192"/>
      <c r="D648" s="192"/>
      <c r="E648" s="192"/>
      <c r="F648" s="192"/>
      <c r="G648" s="192"/>
      <c r="H648" s="192"/>
      <c r="I648" s="192"/>
      <c r="J648" s="192"/>
      <c r="K648" s="192"/>
      <c r="L648" s="192"/>
      <c r="M648" s="192"/>
      <c r="N648" s="192"/>
      <c r="O648" s="192"/>
      <c r="P648" s="192"/>
      <c r="Q648" s="192"/>
      <c r="R648" s="192"/>
      <c r="S648" s="192"/>
      <c r="T648" s="192"/>
      <c r="U648" s="192"/>
      <c r="V648" s="192"/>
      <c r="W648" s="192"/>
      <c r="X648" s="192"/>
      <c r="Y648" s="192"/>
      <c r="Z648" s="192"/>
      <c r="AA648" s="192"/>
      <c r="AB648" s="192"/>
      <c r="AC648" s="192"/>
      <c r="AD648" s="192"/>
      <c r="AE648" s="192"/>
      <c r="AF648" s="192"/>
      <c r="AG648" s="192"/>
      <c r="AH648" s="192"/>
      <c r="AI648" s="192"/>
      <c r="AJ648" s="192"/>
      <c r="AK648" s="192"/>
      <c r="AL648" s="192"/>
      <c r="AM648" s="192"/>
      <c r="AN648" s="192"/>
      <c r="AO648" s="192"/>
      <c r="AP648" s="192"/>
      <c r="AQ648" s="192"/>
      <c r="AR648" s="192"/>
      <c r="AS648" s="192"/>
      <c r="AT648" s="192"/>
      <c r="AU648" s="192"/>
      <c r="AV648" s="192"/>
    </row>
    <row r="649">
      <c r="A649" s="192"/>
      <c r="B649" s="192"/>
      <c r="C649" s="192"/>
      <c r="D649" s="192"/>
      <c r="E649" s="192"/>
      <c r="F649" s="192"/>
      <c r="G649" s="192"/>
      <c r="H649" s="192"/>
      <c r="I649" s="192"/>
      <c r="J649" s="192"/>
      <c r="K649" s="192"/>
      <c r="L649" s="192"/>
      <c r="M649" s="192"/>
      <c r="N649" s="192"/>
      <c r="O649" s="192"/>
      <c r="P649" s="192"/>
      <c r="Q649" s="192"/>
      <c r="R649" s="192"/>
      <c r="S649" s="192"/>
      <c r="T649" s="192"/>
      <c r="U649" s="192"/>
      <c r="V649" s="192"/>
      <c r="W649" s="192"/>
      <c r="X649" s="192"/>
      <c r="Y649" s="192"/>
      <c r="Z649" s="192"/>
      <c r="AA649" s="192"/>
      <c r="AB649" s="192"/>
      <c r="AC649" s="192"/>
      <c r="AD649" s="192"/>
      <c r="AE649" s="192"/>
      <c r="AF649" s="192"/>
      <c r="AG649" s="192"/>
      <c r="AH649" s="192"/>
      <c r="AI649" s="192"/>
      <c r="AJ649" s="192"/>
      <c r="AK649" s="192"/>
      <c r="AL649" s="192"/>
      <c r="AM649" s="192"/>
      <c r="AN649" s="192"/>
      <c r="AO649" s="192"/>
      <c r="AP649" s="192"/>
      <c r="AQ649" s="192"/>
      <c r="AR649" s="192"/>
      <c r="AS649" s="192"/>
      <c r="AT649" s="192"/>
      <c r="AU649" s="192"/>
      <c r="AV649" s="192"/>
    </row>
    <row r="650">
      <c r="A650" s="192"/>
      <c r="B650" s="192"/>
      <c r="C650" s="192"/>
      <c r="D650" s="192"/>
      <c r="E650" s="192"/>
      <c r="F650" s="192"/>
      <c r="G650" s="192"/>
      <c r="H650" s="192"/>
      <c r="I650" s="192"/>
      <c r="J650" s="192"/>
      <c r="K650" s="192"/>
      <c r="L650" s="192"/>
      <c r="M650" s="192"/>
      <c r="N650" s="192"/>
      <c r="O650" s="192"/>
      <c r="P650" s="192"/>
      <c r="Q650" s="192"/>
      <c r="R650" s="192"/>
      <c r="S650" s="192"/>
      <c r="T650" s="192"/>
      <c r="U650" s="192"/>
      <c r="V650" s="192"/>
      <c r="W650" s="192"/>
      <c r="X650" s="192"/>
      <c r="Y650" s="192"/>
      <c r="Z650" s="192"/>
      <c r="AA650" s="192"/>
      <c r="AB650" s="192"/>
      <c r="AC650" s="192"/>
      <c r="AD650" s="192"/>
      <c r="AE650" s="192"/>
      <c r="AF650" s="192"/>
      <c r="AG650" s="192"/>
      <c r="AH650" s="192"/>
      <c r="AI650" s="192"/>
      <c r="AJ650" s="192"/>
      <c r="AK650" s="192"/>
      <c r="AL650" s="192"/>
      <c r="AM650" s="192"/>
      <c r="AN650" s="192"/>
      <c r="AO650" s="192"/>
      <c r="AP650" s="192"/>
      <c r="AQ650" s="192"/>
      <c r="AR650" s="192"/>
      <c r="AS650" s="192"/>
      <c r="AT650" s="192"/>
      <c r="AU650" s="192"/>
      <c r="AV650" s="192"/>
    </row>
    <row r="651">
      <c r="A651" s="192"/>
      <c r="B651" s="192"/>
      <c r="C651" s="192"/>
      <c r="D651" s="192"/>
      <c r="E651" s="192"/>
      <c r="F651" s="192"/>
      <c r="G651" s="192"/>
      <c r="H651" s="192"/>
      <c r="I651" s="192"/>
      <c r="J651" s="192"/>
      <c r="K651" s="192"/>
      <c r="L651" s="192"/>
      <c r="M651" s="192"/>
      <c r="N651" s="192"/>
      <c r="O651" s="192"/>
      <c r="P651" s="192"/>
      <c r="Q651" s="192"/>
      <c r="R651" s="192"/>
      <c r="S651" s="192"/>
      <c r="T651" s="192"/>
      <c r="U651" s="192"/>
      <c r="V651" s="192"/>
      <c r="W651" s="192"/>
      <c r="X651" s="192"/>
      <c r="Y651" s="192"/>
      <c r="Z651" s="192"/>
      <c r="AA651" s="192"/>
      <c r="AB651" s="192"/>
      <c r="AC651" s="192"/>
      <c r="AD651" s="192"/>
      <c r="AE651" s="192"/>
      <c r="AF651" s="192"/>
      <c r="AG651" s="192"/>
      <c r="AH651" s="192"/>
      <c r="AI651" s="192"/>
      <c r="AJ651" s="192"/>
      <c r="AK651" s="192"/>
      <c r="AL651" s="192"/>
      <c r="AM651" s="192"/>
      <c r="AN651" s="192"/>
      <c r="AO651" s="192"/>
      <c r="AP651" s="192"/>
      <c r="AQ651" s="192"/>
      <c r="AR651" s="192"/>
      <c r="AS651" s="192"/>
      <c r="AT651" s="192"/>
      <c r="AU651" s="192"/>
      <c r="AV651" s="192"/>
    </row>
    <row r="652">
      <c r="A652" s="192"/>
      <c r="B652" s="192"/>
      <c r="C652" s="192"/>
      <c r="D652" s="192"/>
      <c r="E652" s="192"/>
      <c r="F652" s="192"/>
      <c r="G652" s="192"/>
      <c r="H652" s="192"/>
      <c r="I652" s="192"/>
      <c r="J652" s="192"/>
      <c r="K652" s="192"/>
      <c r="L652" s="192"/>
      <c r="M652" s="192"/>
      <c r="N652" s="192"/>
      <c r="O652" s="192"/>
      <c r="P652" s="192"/>
      <c r="Q652" s="192"/>
      <c r="R652" s="192"/>
      <c r="S652" s="192"/>
      <c r="T652" s="192"/>
      <c r="U652" s="192"/>
      <c r="V652" s="192"/>
      <c r="W652" s="192"/>
      <c r="X652" s="192"/>
      <c r="Y652" s="192"/>
      <c r="Z652" s="192"/>
      <c r="AA652" s="192"/>
      <c r="AB652" s="192"/>
      <c r="AC652" s="192"/>
      <c r="AD652" s="192"/>
      <c r="AE652" s="192"/>
      <c r="AF652" s="192"/>
      <c r="AG652" s="192"/>
      <c r="AH652" s="192"/>
      <c r="AI652" s="192"/>
      <c r="AJ652" s="192"/>
      <c r="AK652" s="192"/>
      <c r="AL652" s="192"/>
      <c r="AM652" s="192"/>
      <c r="AN652" s="192"/>
      <c r="AO652" s="192"/>
      <c r="AP652" s="192"/>
      <c r="AQ652" s="192"/>
      <c r="AR652" s="192"/>
      <c r="AS652" s="192"/>
      <c r="AT652" s="192"/>
      <c r="AU652" s="192"/>
      <c r="AV652" s="192"/>
    </row>
    <row r="653">
      <c r="A653" s="192"/>
      <c r="B653" s="192"/>
      <c r="C653" s="192"/>
      <c r="D653" s="192"/>
      <c r="E653" s="192"/>
      <c r="F653" s="192"/>
      <c r="G653" s="192"/>
      <c r="H653" s="192"/>
      <c r="I653" s="192"/>
      <c r="J653" s="192"/>
      <c r="K653" s="192"/>
      <c r="L653" s="192"/>
      <c r="M653" s="192"/>
      <c r="N653" s="192"/>
      <c r="O653" s="192"/>
      <c r="P653" s="192"/>
      <c r="Q653" s="192"/>
      <c r="R653" s="192"/>
      <c r="S653" s="192"/>
      <c r="T653" s="192"/>
      <c r="U653" s="192"/>
      <c r="V653" s="192"/>
      <c r="W653" s="192"/>
      <c r="X653" s="192"/>
      <c r="Y653" s="192"/>
      <c r="Z653" s="192"/>
      <c r="AA653" s="192"/>
      <c r="AB653" s="192"/>
      <c r="AC653" s="192"/>
      <c r="AD653" s="192"/>
      <c r="AE653" s="192"/>
      <c r="AF653" s="192"/>
      <c r="AG653" s="192"/>
      <c r="AH653" s="192"/>
      <c r="AI653" s="192"/>
      <c r="AJ653" s="192"/>
      <c r="AK653" s="192"/>
      <c r="AL653" s="192"/>
      <c r="AM653" s="192"/>
      <c r="AN653" s="192"/>
      <c r="AO653" s="192"/>
      <c r="AP653" s="192"/>
      <c r="AQ653" s="192"/>
      <c r="AR653" s="192"/>
      <c r="AS653" s="192"/>
      <c r="AT653" s="192"/>
      <c r="AU653" s="192"/>
      <c r="AV653" s="192"/>
    </row>
    <row r="654">
      <c r="A654" s="192"/>
      <c r="B654" s="192"/>
      <c r="C654" s="192"/>
      <c r="D654" s="192"/>
      <c r="E654" s="192"/>
      <c r="F654" s="192"/>
      <c r="G654" s="192"/>
      <c r="H654" s="192"/>
      <c r="I654" s="192"/>
      <c r="J654" s="192"/>
      <c r="K654" s="192"/>
      <c r="L654" s="192"/>
      <c r="M654" s="192"/>
      <c r="N654" s="192"/>
      <c r="O654" s="192"/>
      <c r="P654" s="192"/>
      <c r="Q654" s="192"/>
      <c r="R654" s="192"/>
      <c r="S654" s="192"/>
      <c r="T654" s="192"/>
      <c r="U654" s="192"/>
      <c r="V654" s="192"/>
      <c r="W654" s="192"/>
      <c r="X654" s="192"/>
      <c r="Y654" s="192"/>
      <c r="Z654" s="192"/>
      <c r="AA654" s="192"/>
      <c r="AB654" s="192"/>
      <c r="AC654" s="192"/>
      <c r="AD654" s="192"/>
      <c r="AE654" s="192"/>
      <c r="AF654" s="192"/>
      <c r="AG654" s="192"/>
      <c r="AH654" s="192"/>
      <c r="AI654" s="192"/>
      <c r="AJ654" s="192"/>
      <c r="AK654" s="192"/>
      <c r="AL654" s="192"/>
      <c r="AM654" s="192"/>
      <c r="AN654" s="192"/>
      <c r="AO654" s="192"/>
      <c r="AP654" s="192"/>
      <c r="AQ654" s="192"/>
      <c r="AR654" s="192"/>
      <c r="AS654" s="192"/>
      <c r="AT654" s="192"/>
      <c r="AU654" s="192"/>
      <c r="AV654" s="192"/>
    </row>
    <row r="655">
      <c r="A655" s="192"/>
      <c r="B655" s="192"/>
      <c r="C655" s="192"/>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2"/>
      <c r="AA655" s="192"/>
      <c r="AB655" s="192"/>
      <c r="AC655" s="192"/>
      <c r="AD655" s="192"/>
      <c r="AE655" s="192"/>
      <c r="AF655" s="192"/>
      <c r="AG655" s="192"/>
      <c r="AH655" s="192"/>
      <c r="AI655" s="192"/>
      <c r="AJ655" s="192"/>
      <c r="AK655" s="192"/>
      <c r="AL655" s="192"/>
      <c r="AM655" s="192"/>
      <c r="AN655" s="192"/>
      <c r="AO655" s="192"/>
      <c r="AP655" s="192"/>
      <c r="AQ655" s="192"/>
      <c r="AR655" s="192"/>
      <c r="AS655" s="192"/>
      <c r="AT655" s="192"/>
      <c r="AU655" s="192"/>
      <c r="AV655" s="192"/>
    </row>
    <row r="656">
      <c r="A656" s="192"/>
      <c r="B656" s="192"/>
      <c r="C656" s="192"/>
      <c r="D656" s="192"/>
      <c r="E656" s="192"/>
      <c r="F656" s="192"/>
      <c r="G656" s="192"/>
      <c r="H656" s="192"/>
      <c r="I656" s="192"/>
      <c r="J656" s="192"/>
      <c r="K656" s="192"/>
      <c r="L656" s="192"/>
      <c r="M656" s="192"/>
      <c r="N656" s="192"/>
      <c r="O656" s="192"/>
      <c r="P656" s="192"/>
      <c r="Q656" s="192"/>
      <c r="R656" s="192"/>
      <c r="S656" s="192"/>
      <c r="T656" s="192"/>
      <c r="U656" s="192"/>
      <c r="V656" s="192"/>
      <c r="W656" s="192"/>
      <c r="X656" s="192"/>
      <c r="Y656" s="192"/>
      <c r="Z656" s="192"/>
      <c r="AA656" s="192"/>
      <c r="AB656" s="192"/>
      <c r="AC656" s="192"/>
      <c r="AD656" s="192"/>
      <c r="AE656" s="192"/>
      <c r="AF656" s="192"/>
      <c r="AG656" s="192"/>
      <c r="AH656" s="192"/>
      <c r="AI656" s="192"/>
      <c r="AJ656" s="192"/>
      <c r="AK656" s="192"/>
      <c r="AL656" s="192"/>
      <c r="AM656" s="192"/>
      <c r="AN656" s="192"/>
      <c r="AO656" s="192"/>
      <c r="AP656" s="192"/>
      <c r="AQ656" s="192"/>
      <c r="AR656" s="192"/>
      <c r="AS656" s="192"/>
      <c r="AT656" s="192"/>
      <c r="AU656" s="192"/>
      <c r="AV656" s="192"/>
    </row>
    <row r="657">
      <c r="A657" s="192"/>
      <c r="B657" s="192"/>
      <c r="C657" s="192"/>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2"/>
      <c r="AA657" s="192"/>
      <c r="AB657" s="192"/>
      <c r="AC657" s="192"/>
      <c r="AD657" s="192"/>
      <c r="AE657" s="192"/>
      <c r="AF657" s="192"/>
      <c r="AG657" s="192"/>
      <c r="AH657" s="192"/>
      <c r="AI657" s="192"/>
      <c r="AJ657" s="192"/>
      <c r="AK657" s="192"/>
      <c r="AL657" s="192"/>
      <c r="AM657" s="192"/>
      <c r="AN657" s="192"/>
      <c r="AO657" s="192"/>
      <c r="AP657" s="192"/>
      <c r="AQ657" s="192"/>
      <c r="AR657" s="192"/>
      <c r="AS657" s="192"/>
      <c r="AT657" s="192"/>
      <c r="AU657" s="192"/>
      <c r="AV657" s="192"/>
    </row>
    <row r="658">
      <c r="A658" s="192"/>
      <c r="B658" s="192"/>
      <c r="C658" s="192"/>
      <c r="D658" s="192"/>
      <c r="E658" s="192"/>
      <c r="F658" s="192"/>
      <c r="G658" s="192"/>
      <c r="H658" s="192"/>
      <c r="I658" s="192"/>
      <c r="J658" s="192"/>
      <c r="K658" s="192"/>
      <c r="L658" s="192"/>
      <c r="M658" s="192"/>
      <c r="N658" s="192"/>
      <c r="O658" s="192"/>
      <c r="P658" s="192"/>
      <c r="Q658" s="192"/>
      <c r="R658" s="192"/>
      <c r="S658" s="192"/>
      <c r="T658" s="192"/>
      <c r="U658" s="192"/>
      <c r="V658" s="192"/>
      <c r="W658" s="192"/>
      <c r="X658" s="192"/>
      <c r="Y658" s="192"/>
      <c r="Z658" s="192"/>
      <c r="AA658" s="192"/>
      <c r="AB658" s="192"/>
      <c r="AC658" s="192"/>
      <c r="AD658" s="192"/>
      <c r="AE658" s="192"/>
      <c r="AF658" s="192"/>
      <c r="AG658" s="192"/>
      <c r="AH658" s="192"/>
      <c r="AI658" s="192"/>
      <c r="AJ658" s="192"/>
      <c r="AK658" s="192"/>
      <c r="AL658" s="192"/>
      <c r="AM658" s="192"/>
      <c r="AN658" s="192"/>
      <c r="AO658" s="192"/>
      <c r="AP658" s="192"/>
      <c r="AQ658" s="192"/>
      <c r="AR658" s="192"/>
      <c r="AS658" s="192"/>
      <c r="AT658" s="192"/>
      <c r="AU658" s="192"/>
      <c r="AV658" s="192"/>
    </row>
    <row r="659">
      <c r="A659" s="192"/>
      <c r="B659" s="192"/>
      <c r="C659" s="192"/>
      <c r="D659" s="192"/>
      <c r="E659" s="192"/>
      <c r="F659" s="192"/>
      <c r="G659" s="192"/>
      <c r="H659" s="192"/>
      <c r="I659" s="192"/>
      <c r="J659" s="192"/>
      <c r="K659" s="192"/>
      <c r="L659" s="192"/>
      <c r="M659" s="192"/>
      <c r="N659" s="192"/>
      <c r="O659" s="192"/>
      <c r="P659" s="192"/>
      <c r="Q659" s="192"/>
      <c r="R659" s="192"/>
      <c r="S659" s="192"/>
      <c r="T659" s="192"/>
      <c r="U659" s="192"/>
      <c r="V659" s="192"/>
      <c r="W659" s="192"/>
      <c r="X659" s="192"/>
      <c r="Y659" s="192"/>
      <c r="Z659" s="192"/>
      <c r="AA659" s="192"/>
      <c r="AB659" s="192"/>
      <c r="AC659" s="192"/>
      <c r="AD659" s="192"/>
      <c r="AE659" s="192"/>
      <c r="AF659" s="192"/>
      <c r="AG659" s="192"/>
      <c r="AH659" s="192"/>
      <c r="AI659" s="192"/>
      <c r="AJ659" s="192"/>
      <c r="AK659" s="192"/>
      <c r="AL659" s="192"/>
      <c r="AM659" s="192"/>
      <c r="AN659" s="192"/>
      <c r="AO659" s="192"/>
      <c r="AP659" s="192"/>
      <c r="AQ659" s="192"/>
      <c r="AR659" s="192"/>
      <c r="AS659" s="192"/>
      <c r="AT659" s="192"/>
      <c r="AU659" s="192"/>
      <c r="AV659" s="192"/>
    </row>
    <row r="660">
      <c r="A660" s="192"/>
      <c r="B660" s="192"/>
      <c r="C660" s="192"/>
      <c r="D660" s="192"/>
      <c r="E660" s="192"/>
      <c r="F660" s="192"/>
      <c r="G660" s="192"/>
      <c r="H660" s="192"/>
      <c r="I660" s="192"/>
      <c r="J660" s="192"/>
      <c r="K660" s="192"/>
      <c r="L660" s="192"/>
      <c r="M660" s="192"/>
      <c r="N660" s="192"/>
      <c r="O660" s="192"/>
      <c r="P660" s="192"/>
      <c r="Q660" s="192"/>
      <c r="R660" s="192"/>
      <c r="S660" s="192"/>
      <c r="T660" s="192"/>
      <c r="U660" s="192"/>
      <c r="V660" s="192"/>
      <c r="W660" s="192"/>
      <c r="X660" s="192"/>
      <c r="Y660" s="192"/>
      <c r="Z660" s="192"/>
      <c r="AA660" s="192"/>
      <c r="AB660" s="192"/>
      <c r="AC660" s="192"/>
      <c r="AD660" s="192"/>
      <c r="AE660" s="192"/>
      <c r="AF660" s="192"/>
      <c r="AG660" s="192"/>
      <c r="AH660" s="192"/>
      <c r="AI660" s="192"/>
      <c r="AJ660" s="192"/>
      <c r="AK660" s="192"/>
      <c r="AL660" s="192"/>
      <c r="AM660" s="192"/>
      <c r="AN660" s="192"/>
      <c r="AO660" s="192"/>
      <c r="AP660" s="192"/>
      <c r="AQ660" s="192"/>
      <c r="AR660" s="192"/>
      <c r="AS660" s="192"/>
      <c r="AT660" s="192"/>
      <c r="AU660" s="192"/>
      <c r="AV660" s="192"/>
    </row>
    <row r="661">
      <c r="A661" s="192"/>
      <c r="B661" s="192"/>
      <c r="C661" s="192"/>
      <c r="D661" s="192"/>
      <c r="E661" s="192"/>
      <c r="F661" s="192"/>
      <c r="G661" s="192"/>
      <c r="H661" s="192"/>
      <c r="I661" s="192"/>
      <c r="J661" s="192"/>
      <c r="K661" s="192"/>
      <c r="L661" s="192"/>
      <c r="M661" s="192"/>
      <c r="N661" s="192"/>
      <c r="O661" s="192"/>
      <c r="P661" s="192"/>
      <c r="Q661" s="192"/>
      <c r="R661" s="192"/>
      <c r="S661" s="192"/>
      <c r="T661" s="192"/>
      <c r="U661" s="192"/>
      <c r="V661" s="192"/>
      <c r="W661" s="192"/>
      <c r="X661" s="192"/>
      <c r="Y661" s="192"/>
      <c r="Z661" s="192"/>
      <c r="AA661" s="192"/>
      <c r="AB661" s="192"/>
      <c r="AC661" s="192"/>
      <c r="AD661" s="192"/>
      <c r="AE661" s="192"/>
      <c r="AF661" s="192"/>
      <c r="AG661" s="192"/>
      <c r="AH661" s="192"/>
      <c r="AI661" s="192"/>
      <c r="AJ661" s="192"/>
      <c r="AK661" s="192"/>
      <c r="AL661" s="192"/>
      <c r="AM661" s="192"/>
      <c r="AN661" s="192"/>
      <c r="AO661" s="192"/>
      <c r="AP661" s="192"/>
      <c r="AQ661" s="192"/>
      <c r="AR661" s="192"/>
      <c r="AS661" s="192"/>
      <c r="AT661" s="192"/>
      <c r="AU661" s="192"/>
      <c r="AV661" s="192"/>
    </row>
    <row r="662">
      <c r="A662" s="192"/>
      <c r="B662" s="192"/>
      <c r="C662" s="192"/>
      <c r="D662" s="192"/>
      <c r="E662" s="192"/>
      <c r="F662" s="192"/>
      <c r="G662" s="192"/>
      <c r="H662" s="192"/>
      <c r="I662" s="192"/>
      <c r="J662" s="192"/>
      <c r="K662" s="192"/>
      <c r="L662" s="192"/>
      <c r="M662" s="192"/>
      <c r="N662" s="192"/>
      <c r="O662" s="192"/>
      <c r="P662" s="192"/>
      <c r="Q662" s="192"/>
      <c r="R662" s="192"/>
      <c r="S662" s="192"/>
      <c r="T662" s="192"/>
      <c r="U662" s="192"/>
      <c r="V662" s="192"/>
      <c r="W662" s="192"/>
      <c r="X662" s="192"/>
      <c r="Y662" s="192"/>
      <c r="Z662" s="192"/>
      <c r="AA662" s="192"/>
      <c r="AB662" s="192"/>
      <c r="AC662" s="192"/>
      <c r="AD662" s="192"/>
      <c r="AE662" s="192"/>
      <c r="AF662" s="192"/>
      <c r="AG662" s="192"/>
      <c r="AH662" s="192"/>
      <c r="AI662" s="192"/>
      <c r="AJ662" s="192"/>
      <c r="AK662" s="192"/>
      <c r="AL662" s="192"/>
      <c r="AM662" s="192"/>
      <c r="AN662" s="192"/>
      <c r="AO662" s="192"/>
      <c r="AP662" s="192"/>
      <c r="AQ662" s="192"/>
      <c r="AR662" s="192"/>
      <c r="AS662" s="192"/>
      <c r="AT662" s="192"/>
      <c r="AU662" s="192"/>
      <c r="AV662" s="192"/>
    </row>
    <row r="663">
      <c r="A663" s="192"/>
      <c r="B663" s="192"/>
      <c r="C663" s="192"/>
      <c r="D663" s="192"/>
      <c r="E663" s="192"/>
      <c r="F663" s="192"/>
      <c r="G663" s="192"/>
      <c r="H663" s="192"/>
      <c r="I663" s="192"/>
      <c r="J663" s="192"/>
      <c r="K663" s="192"/>
      <c r="L663" s="192"/>
      <c r="M663" s="192"/>
      <c r="N663" s="192"/>
      <c r="O663" s="192"/>
      <c r="P663" s="192"/>
      <c r="Q663" s="192"/>
      <c r="R663" s="192"/>
      <c r="S663" s="192"/>
      <c r="T663" s="192"/>
      <c r="U663" s="192"/>
      <c r="V663" s="192"/>
      <c r="W663" s="192"/>
      <c r="X663" s="192"/>
      <c r="Y663" s="192"/>
      <c r="Z663" s="192"/>
      <c r="AA663" s="192"/>
      <c r="AB663" s="192"/>
      <c r="AC663" s="192"/>
      <c r="AD663" s="192"/>
      <c r="AE663" s="192"/>
      <c r="AF663" s="192"/>
      <c r="AG663" s="192"/>
      <c r="AH663" s="192"/>
      <c r="AI663" s="192"/>
      <c r="AJ663" s="192"/>
      <c r="AK663" s="192"/>
      <c r="AL663" s="192"/>
      <c r="AM663" s="192"/>
      <c r="AN663" s="192"/>
      <c r="AO663" s="192"/>
      <c r="AP663" s="192"/>
      <c r="AQ663" s="192"/>
      <c r="AR663" s="192"/>
      <c r="AS663" s="192"/>
      <c r="AT663" s="192"/>
      <c r="AU663" s="192"/>
      <c r="AV663" s="192"/>
    </row>
    <row r="664">
      <c r="A664" s="192"/>
      <c r="B664" s="192"/>
      <c r="C664" s="192"/>
      <c r="D664" s="192"/>
      <c r="E664" s="192"/>
      <c r="F664" s="192"/>
      <c r="G664" s="192"/>
      <c r="H664" s="192"/>
      <c r="I664" s="192"/>
      <c r="J664" s="192"/>
      <c r="K664" s="192"/>
      <c r="L664" s="192"/>
      <c r="M664" s="192"/>
      <c r="N664" s="192"/>
      <c r="O664" s="192"/>
      <c r="P664" s="192"/>
      <c r="Q664" s="192"/>
      <c r="R664" s="192"/>
      <c r="S664" s="192"/>
      <c r="T664" s="192"/>
      <c r="U664" s="192"/>
      <c r="V664" s="192"/>
      <c r="W664" s="192"/>
      <c r="X664" s="192"/>
      <c r="Y664" s="192"/>
      <c r="Z664" s="192"/>
      <c r="AA664" s="192"/>
      <c r="AB664" s="192"/>
      <c r="AC664" s="192"/>
      <c r="AD664" s="192"/>
      <c r="AE664" s="192"/>
      <c r="AF664" s="192"/>
      <c r="AG664" s="192"/>
      <c r="AH664" s="192"/>
      <c r="AI664" s="192"/>
      <c r="AJ664" s="192"/>
      <c r="AK664" s="192"/>
      <c r="AL664" s="192"/>
      <c r="AM664" s="192"/>
      <c r="AN664" s="192"/>
      <c r="AO664" s="192"/>
      <c r="AP664" s="192"/>
      <c r="AQ664" s="192"/>
      <c r="AR664" s="192"/>
      <c r="AS664" s="192"/>
      <c r="AT664" s="192"/>
      <c r="AU664" s="192"/>
      <c r="AV664" s="192"/>
    </row>
    <row r="665">
      <c r="A665" s="192"/>
      <c r="B665" s="192"/>
      <c r="C665" s="192"/>
      <c r="D665" s="192"/>
      <c r="E665" s="192"/>
      <c r="F665" s="192"/>
      <c r="G665" s="192"/>
      <c r="H665" s="192"/>
      <c r="I665" s="192"/>
      <c r="J665" s="192"/>
      <c r="K665" s="192"/>
      <c r="L665" s="192"/>
      <c r="M665" s="192"/>
      <c r="N665" s="192"/>
      <c r="O665" s="192"/>
      <c r="P665" s="192"/>
      <c r="Q665" s="192"/>
      <c r="R665" s="192"/>
      <c r="S665" s="192"/>
      <c r="T665" s="192"/>
      <c r="U665" s="192"/>
      <c r="V665" s="192"/>
      <c r="W665" s="192"/>
      <c r="X665" s="192"/>
      <c r="Y665" s="192"/>
      <c r="Z665" s="192"/>
      <c r="AA665" s="192"/>
      <c r="AB665" s="192"/>
      <c r="AC665" s="192"/>
      <c r="AD665" s="192"/>
      <c r="AE665" s="192"/>
      <c r="AF665" s="192"/>
      <c r="AG665" s="192"/>
      <c r="AH665" s="192"/>
      <c r="AI665" s="192"/>
      <c r="AJ665" s="192"/>
      <c r="AK665" s="192"/>
      <c r="AL665" s="192"/>
      <c r="AM665" s="192"/>
      <c r="AN665" s="192"/>
      <c r="AO665" s="192"/>
      <c r="AP665" s="192"/>
      <c r="AQ665" s="192"/>
      <c r="AR665" s="192"/>
      <c r="AS665" s="192"/>
      <c r="AT665" s="192"/>
      <c r="AU665" s="192"/>
      <c r="AV665" s="192"/>
    </row>
    <row r="666">
      <c r="A666" s="192"/>
      <c r="B666" s="192"/>
      <c r="C666" s="192"/>
      <c r="D666" s="192"/>
      <c r="E666" s="192"/>
      <c r="F666" s="192"/>
      <c r="G666" s="192"/>
      <c r="H666" s="192"/>
      <c r="I666" s="192"/>
      <c r="J666" s="192"/>
      <c r="K666" s="192"/>
      <c r="L666" s="192"/>
      <c r="M666" s="192"/>
      <c r="N666" s="192"/>
      <c r="O666" s="192"/>
      <c r="P666" s="192"/>
      <c r="Q666" s="192"/>
      <c r="R666" s="192"/>
      <c r="S666" s="192"/>
      <c r="T666" s="192"/>
      <c r="U666" s="192"/>
      <c r="V666" s="192"/>
      <c r="W666" s="192"/>
      <c r="X666" s="192"/>
      <c r="Y666" s="192"/>
      <c r="Z666" s="192"/>
      <c r="AA666" s="192"/>
      <c r="AB666" s="192"/>
      <c r="AC666" s="192"/>
      <c r="AD666" s="192"/>
      <c r="AE666" s="192"/>
      <c r="AF666" s="192"/>
      <c r="AG666" s="192"/>
      <c r="AH666" s="192"/>
      <c r="AI666" s="192"/>
      <c r="AJ666" s="192"/>
      <c r="AK666" s="192"/>
      <c r="AL666" s="192"/>
      <c r="AM666" s="192"/>
      <c r="AN666" s="192"/>
      <c r="AO666" s="192"/>
      <c r="AP666" s="192"/>
      <c r="AQ666" s="192"/>
      <c r="AR666" s="192"/>
      <c r="AS666" s="192"/>
      <c r="AT666" s="192"/>
      <c r="AU666" s="192"/>
      <c r="AV666" s="192"/>
    </row>
    <row r="667">
      <c r="A667" s="192"/>
      <c r="B667" s="192"/>
      <c r="C667" s="192"/>
      <c r="D667" s="192"/>
      <c r="E667" s="192"/>
      <c r="F667" s="192"/>
      <c r="G667" s="192"/>
      <c r="H667" s="192"/>
      <c r="I667" s="192"/>
      <c r="J667" s="192"/>
      <c r="K667" s="192"/>
      <c r="L667" s="192"/>
      <c r="M667" s="192"/>
      <c r="N667" s="192"/>
      <c r="O667" s="192"/>
      <c r="P667" s="192"/>
      <c r="Q667" s="192"/>
      <c r="R667" s="192"/>
      <c r="S667" s="192"/>
      <c r="T667" s="192"/>
      <c r="U667" s="192"/>
      <c r="V667" s="192"/>
      <c r="W667" s="192"/>
      <c r="X667" s="192"/>
      <c r="Y667" s="192"/>
      <c r="Z667" s="192"/>
      <c r="AA667" s="192"/>
      <c r="AB667" s="192"/>
      <c r="AC667" s="192"/>
      <c r="AD667" s="192"/>
      <c r="AE667" s="192"/>
      <c r="AF667" s="192"/>
      <c r="AG667" s="192"/>
      <c r="AH667" s="192"/>
      <c r="AI667" s="192"/>
      <c r="AJ667" s="192"/>
      <c r="AK667" s="192"/>
      <c r="AL667" s="192"/>
      <c r="AM667" s="192"/>
      <c r="AN667" s="192"/>
      <c r="AO667" s="192"/>
      <c r="AP667" s="192"/>
      <c r="AQ667" s="192"/>
      <c r="AR667" s="192"/>
      <c r="AS667" s="192"/>
      <c r="AT667" s="192"/>
      <c r="AU667" s="192"/>
      <c r="AV667" s="192"/>
    </row>
    <row r="668">
      <c r="A668" s="192"/>
      <c r="B668" s="192"/>
      <c r="C668" s="192"/>
      <c r="D668" s="192"/>
      <c r="E668" s="192"/>
      <c r="F668" s="192"/>
      <c r="G668" s="192"/>
      <c r="H668" s="192"/>
      <c r="I668" s="192"/>
      <c r="J668" s="192"/>
      <c r="K668" s="192"/>
      <c r="L668" s="192"/>
      <c r="M668" s="192"/>
      <c r="N668" s="192"/>
      <c r="O668" s="192"/>
      <c r="P668" s="192"/>
      <c r="Q668" s="192"/>
      <c r="R668" s="192"/>
      <c r="S668" s="192"/>
      <c r="T668" s="192"/>
      <c r="U668" s="192"/>
      <c r="V668" s="192"/>
      <c r="W668" s="192"/>
      <c r="X668" s="192"/>
      <c r="Y668" s="192"/>
      <c r="Z668" s="192"/>
      <c r="AA668" s="192"/>
      <c r="AB668" s="192"/>
      <c r="AC668" s="192"/>
      <c r="AD668" s="192"/>
      <c r="AE668" s="192"/>
      <c r="AF668" s="192"/>
      <c r="AG668" s="192"/>
      <c r="AH668" s="192"/>
      <c r="AI668" s="192"/>
      <c r="AJ668" s="192"/>
      <c r="AK668" s="192"/>
      <c r="AL668" s="192"/>
      <c r="AM668" s="192"/>
      <c r="AN668" s="192"/>
      <c r="AO668" s="192"/>
      <c r="AP668" s="192"/>
      <c r="AQ668" s="192"/>
      <c r="AR668" s="192"/>
      <c r="AS668" s="192"/>
      <c r="AT668" s="192"/>
      <c r="AU668" s="192"/>
      <c r="AV668" s="192"/>
    </row>
    <row r="669">
      <c r="A669" s="192"/>
      <c r="B669" s="192"/>
      <c r="C669" s="192"/>
      <c r="D669" s="192"/>
      <c r="E669" s="192"/>
      <c r="F669" s="192"/>
      <c r="G669" s="192"/>
      <c r="H669" s="192"/>
      <c r="I669" s="192"/>
      <c r="J669" s="192"/>
      <c r="K669" s="192"/>
      <c r="L669" s="192"/>
      <c r="M669" s="192"/>
      <c r="N669" s="192"/>
      <c r="O669" s="192"/>
      <c r="P669" s="192"/>
      <c r="Q669" s="192"/>
      <c r="R669" s="192"/>
      <c r="S669" s="192"/>
      <c r="T669" s="192"/>
      <c r="U669" s="192"/>
      <c r="V669" s="192"/>
      <c r="W669" s="192"/>
      <c r="X669" s="192"/>
      <c r="Y669" s="192"/>
      <c r="Z669" s="192"/>
      <c r="AA669" s="192"/>
      <c r="AB669" s="192"/>
      <c r="AC669" s="192"/>
      <c r="AD669" s="192"/>
      <c r="AE669" s="192"/>
      <c r="AF669" s="192"/>
      <c r="AG669" s="192"/>
      <c r="AH669" s="192"/>
      <c r="AI669" s="192"/>
      <c r="AJ669" s="192"/>
      <c r="AK669" s="192"/>
      <c r="AL669" s="192"/>
      <c r="AM669" s="192"/>
      <c r="AN669" s="192"/>
      <c r="AO669" s="192"/>
      <c r="AP669" s="192"/>
      <c r="AQ669" s="192"/>
      <c r="AR669" s="192"/>
      <c r="AS669" s="192"/>
      <c r="AT669" s="192"/>
      <c r="AU669" s="192"/>
      <c r="AV669" s="192"/>
    </row>
    <row r="670">
      <c r="A670" s="192"/>
      <c r="B670" s="192"/>
      <c r="C670" s="192"/>
      <c r="D670" s="192"/>
      <c r="E670" s="192"/>
      <c r="F670" s="192"/>
      <c r="G670" s="192"/>
      <c r="H670" s="192"/>
      <c r="I670" s="192"/>
      <c r="J670" s="192"/>
      <c r="K670" s="192"/>
      <c r="L670" s="192"/>
      <c r="M670" s="192"/>
      <c r="N670" s="192"/>
      <c r="O670" s="192"/>
      <c r="P670" s="192"/>
      <c r="Q670" s="192"/>
      <c r="R670" s="192"/>
      <c r="S670" s="192"/>
      <c r="T670" s="192"/>
      <c r="U670" s="192"/>
      <c r="V670" s="192"/>
      <c r="W670" s="192"/>
      <c r="X670" s="192"/>
      <c r="Y670" s="192"/>
      <c r="Z670" s="192"/>
      <c r="AA670" s="192"/>
      <c r="AB670" s="192"/>
      <c r="AC670" s="192"/>
      <c r="AD670" s="192"/>
      <c r="AE670" s="192"/>
      <c r="AF670" s="192"/>
      <c r="AG670" s="192"/>
      <c r="AH670" s="192"/>
      <c r="AI670" s="192"/>
      <c r="AJ670" s="192"/>
      <c r="AK670" s="192"/>
      <c r="AL670" s="192"/>
      <c r="AM670" s="192"/>
      <c r="AN670" s="192"/>
      <c r="AO670" s="192"/>
      <c r="AP670" s="192"/>
      <c r="AQ670" s="192"/>
      <c r="AR670" s="192"/>
      <c r="AS670" s="192"/>
      <c r="AT670" s="192"/>
      <c r="AU670" s="192"/>
      <c r="AV670" s="192"/>
    </row>
    <row r="671">
      <c r="A671" s="192"/>
      <c r="B671" s="192"/>
      <c r="C671" s="192"/>
      <c r="D671" s="192"/>
      <c r="E671" s="192"/>
      <c r="F671" s="192"/>
      <c r="G671" s="192"/>
      <c r="H671" s="192"/>
      <c r="I671" s="192"/>
      <c r="J671" s="192"/>
      <c r="K671" s="192"/>
      <c r="L671" s="192"/>
      <c r="M671" s="192"/>
      <c r="N671" s="192"/>
      <c r="O671" s="192"/>
      <c r="P671" s="192"/>
      <c r="Q671" s="192"/>
      <c r="R671" s="192"/>
      <c r="S671" s="192"/>
      <c r="T671" s="192"/>
      <c r="U671" s="192"/>
      <c r="V671" s="192"/>
      <c r="W671" s="192"/>
      <c r="X671" s="192"/>
      <c r="Y671" s="192"/>
      <c r="Z671" s="192"/>
      <c r="AA671" s="192"/>
      <c r="AB671" s="192"/>
      <c r="AC671" s="192"/>
      <c r="AD671" s="192"/>
      <c r="AE671" s="192"/>
      <c r="AF671" s="192"/>
      <c r="AG671" s="192"/>
      <c r="AH671" s="192"/>
      <c r="AI671" s="192"/>
      <c r="AJ671" s="192"/>
      <c r="AK671" s="192"/>
      <c r="AL671" s="192"/>
      <c r="AM671" s="192"/>
      <c r="AN671" s="192"/>
      <c r="AO671" s="192"/>
      <c r="AP671" s="192"/>
      <c r="AQ671" s="192"/>
      <c r="AR671" s="192"/>
      <c r="AS671" s="192"/>
      <c r="AT671" s="192"/>
      <c r="AU671" s="192"/>
      <c r="AV671" s="192"/>
    </row>
    <row r="672">
      <c r="A672" s="192"/>
      <c r="B672" s="192"/>
      <c r="C672" s="192"/>
      <c r="D672" s="192"/>
      <c r="E672" s="192"/>
      <c r="F672" s="192"/>
      <c r="G672" s="192"/>
      <c r="H672" s="192"/>
      <c r="I672" s="192"/>
      <c r="J672" s="192"/>
      <c r="K672" s="192"/>
      <c r="L672" s="192"/>
      <c r="M672" s="192"/>
      <c r="N672" s="192"/>
      <c r="O672" s="192"/>
      <c r="P672" s="192"/>
      <c r="Q672" s="192"/>
      <c r="R672" s="192"/>
      <c r="S672" s="192"/>
      <c r="T672" s="192"/>
      <c r="U672" s="192"/>
      <c r="V672" s="192"/>
      <c r="W672" s="192"/>
      <c r="X672" s="192"/>
      <c r="Y672" s="192"/>
      <c r="Z672" s="192"/>
      <c r="AA672" s="192"/>
      <c r="AB672" s="192"/>
      <c r="AC672" s="192"/>
      <c r="AD672" s="192"/>
      <c r="AE672" s="192"/>
      <c r="AF672" s="192"/>
      <c r="AG672" s="192"/>
      <c r="AH672" s="192"/>
      <c r="AI672" s="192"/>
      <c r="AJ672" s="192"/>
      <c r="AK672" s="192"/>
      <c r="AL672" s="192"/>
      <c r="AM672" s="192"/>
      <c r="AN672" s="192"/>
      <c r="AO672" s="192"/>
      <c r="AP672" s="192"/>
      <c r="AQ672" s="192"/>
      <c r="AR672" s="192"/>
      <c r="AS672" s="192"/>
      <c r="AT672" s="192"/>
      <c r="AU672" s="192"/>
      <c r="AV672" s="192"/>
    </row>
    <row r="673">
      <c r="A673" s="192"/>
      <c r="B673" s="192"/>
      <c r="C673" s="192"/>
      <c r="D673" s="192"/>
      <c r="E673" s="192"/>
      <c r="F673" s="192"/>
      <c r="G673" s="192"/>
      <c r="H673" s="192"/>
      <c r="I673" s="192"/>
      <c r="J673" s="192"/>
      <c r="K673" s="192"/>
      <c r="L673" s="192"/>
      <c r="M673" s="192"/>
      <c r="N673" s="192"/>
      <c r="O673" s="192"/>
      <c r="P673" s="192"/>
      <c r="Q673" s="192"/>
      <c r="R673" s="192"/>
      <c r="S673" s="192"/>
      <c r="T673" s="192"/>
      <c r="U673" s="192"/>
      <c r="V673" s="192"/>
      <c r="W673" s="192"/>
      <c r="X673" s="192"/>
      <c r="Y673" s="192"/>
      <c r="Z673" s="192"/>
      <c r="AA673" s="192"/>
      <c r="AB673" s="192"/>
      <c r="AC673" s="192"/>
      <c r="AD673" s="192"/>
      <c r="AE673" s="192"/>
      <c r="AF673" s="192"/>
      <c r="AG673" s="192"/>
      <c r="AH673" s="192"/>
      <c r="AI673" s="192"/>
      <c r="AJ673" s="192"/>
      <c r="AK673" s="192"/>
      <c r="AL673" s="192"/>
      <c r="AM673" s="192"/>
      <c r="AN673" s="192"/>
      <c r="AO673" s="192"/>
      <c r="AP673" s="192"/>
      <c r="AQ673" s="192"/>
      <c r="AR673" s="192"/>
      <c r="AS673" s="192"/>
      <c r="AT673" s="192"/>
      <c r="AU673" s="192"/>
      <c r="AV673" s="192"/>
    </row>
    <row r="674">
      <c r="A674" s="192"/>
      <c r="B674" s="192"/>
      <c r="C674" s="192"/>
      <c r="D674" s="192"/>
      <c r="E674" s="192"/>
      <c r="F674" s="192"/>
      <c r="G674" s="192"/>
      <c r="H674" s="192"/>
      <c r="I674" s="192"/>
      <c r="J674" s="192"/>
      <c r="K674" s="192"/>
      <c r="L674" s="192"/>
      <c r="M674" s="192"/>
      <c r="N674" s="192"/>
      <c r="O674" s="192"/>
      <c r="P674" s="192"/>
      <c r="Q674" s="192"/>
      <c r="R674" s="192"/>
      <c r="S674" s="192"/>
      <c r="T674" s="192"/>
      <c r="U674" s="192"/>
      <c r="V674" s="192"/>
      <c r="W674" s="192"/>
      <c r="X674" s="192"/>
      <c r="Y674" s="192"/>
      <c r="Z674" s="192"/>
      <c r="AA674" s="192"/>
      <c r="AB674" s="192"/>
      <c r="AC674" s="192"/>
      <c r="AD674" s="192"/>
      <c r="AE674" s="192"/>
      <c r="AF674" s="192"/>
      <c r="AG674" s="192"/>
      <c r="AH674" s="192"/>
      <c r="AI674" s="192"/>
      <c r="AJ674" s="192"/>
      <c r="AK674" s="192"/>
      <c r="AL674" s="192"/>
      <c r="AM674" s="192"/>
      <c r="AN674" s="192"/>
      <c r="AO674" s="192"/>
      <c r="AP674" s="192"/>
      <c r="AQ674" s="192"/>
      <c r="AR674" s="192"/>
      <c r="AS674" s="192"/>
      <c r="AT674" s="192"/>
      <c r="AU674" s="192"/>
      <c r="AV674" s="192"/>
    </row>
    <row r="675">
      <c r="A675" s="192"/>
      <c r="B675" s="192"/>
      <c r="C675" s="192"/>
      <c r="D675" s="192"/>
      <c r="E675" s="192"/>
      <c r="F675" s="192"/>
      <c r="G675" s="192"/>
      <c r="H675" s="192"/>
      <c r="I675" s="192"/>
      <c r="J675" s="192"/>
      <c r="K675" s="192"/>
      <c r="L675" s="192"/>
      <c r="M675" s="192"/>
      <c r="N675" s="192"/>
      <c r="O675" s="192"/>
      <c r="P675" s="192"/>
      <c r="Q675" s="192"/>
      <c r="R675" s="192"/>
      <c r="S675" s="192"/>
      <c r="T675" s="192"/>
      <c r="U675" s="192"/>
      <c r="V675" s="192"/>
      <c r="W675" s="192"/>
      <c r="X675" s="192"/>
      <c r="Y675" s="192"/>
      <c r="Z675" s="192"/>
      <c r="AA675" s="192"/>
      <c r="AB675" s="192"/>
      <c r="AC675" s="192"/>
      <c r="AD675" s="192"/>
      <c r="AE675" s="192"/>
      <c r="AF675" s="192"/>
      <c r="AG675" s="192"/>
      <c r="AH675" s="192"/>
      <c r="AI675" s="192"/>
      <c r="AJ675" s="192"/>
      <c r="AK675" s="192"/>
      <c r="AL675" s="192"/>
      <c r="AM675" s="192"/>
      <c r="AN675" s="192"/>
      <c r="AO675" s="192"/>
      <c r="AP675" s="192"/>
      <c r="AQ675" s="192"/>
      <c r="AR675" s="192"/>
      <c r="AS675" s="192"/>
      <c r="AT675" s="192"/>
      <c r="AU675" s="192"/>
      <c r="AV675" s="192"/>
    </row>
    <row r="676">
      <c r="A676" s="192"/>
      <c r="B676" s="192"/>
      <c r="C676" s="192"/>
      <c r="D676" s="192"/>
      <c r="E676" s="192"/>
      <c r="F676" s="192"/>
      <c r="G676" s="192"/>
      <c r="H676" s="192"/>
      <c r="I676" s="192"/>
      <c r="J676" s="192"/>
      <c r="K676" s="192"/>
      <c r="L676" s="192"/>
      <c r="M676" s="192"/>
      <c r="N676" s="192"/>
      <c r="O676" s="192"/>
      <c r="P676" s="192"/>
      <c r="Q676" s="192"/>
      <c r="R676" s="192"/>
      <c r="S676" s="192"/>
      <c r="T676" s="192"/>
      <c r="U676" s="192"/>
      <c r="V676" s="192"/>
      <c r="W676" s="192"/>
      <c r="X676" s="192"/>
      <c r="Y676" s="192"/>
      <c r="Z676" s="192"/>
      <c r="AA676" s="192"/>
      <c r="AB676" s="192"/>
      <c r="AC676" s="192"/>
      <c r="AD676" s="192"/>
      <c r="AE676" s="192"/>
      <c r="AF676" s="192"/>
      <c r="AG676" s="192"/>
      <c r="AH676" s="192"/>
      <c r="AI676" s="192"/>
      <c r="AJ676" s="192"/>
      <c r="AK676" s="192"/>
      <c r="AL676" s="192"/>
      <c r="AM676" s="192"/>
      <c r="AN676" s="192"/>
      <c r="AO676" s="192"/>
      <c r="AP676" s="192"/>
      <c r="AQ676" s="192"/>
      <c r="AR676" s="192"/>
      <c r="AS676" s="192"/>
      <c r="AT676" s="192"/>
      <c r="AU676" s="192"/>
      <c r="AV676" s="192"/>
    </row>
    <row r="677">
      <c r="A677" s="192"/>
      <c r="B677" s="192"/>
      <c r="C677" s="192"/>
      <c r="D677" s="192"/>
      <c r="E677" s="192"/>
      <c r="F677" s="192"/>
      <c r="G677" s="192"/>
      <c r="H677" s="192"/>
      <c r="I677" s="192"/>
      <c r="J677" s="192"/>
      <c r="K677" s="192"/>
      <c r="L677" s="192"/>
      <c r="M677" s="192"/>
      <c r="N677" s="192"/>
      <c r="O677" s="192"/>
      <c r="P677" s="192"/>
      <c r="Q677" s="192"/>
      <c r="R677" s="192"/>
      <c r="S677" s="192"/>
      <c r="T677" s="192"/>
      <c r="U677" s="192"/>
      <c r="V677" s="192"/>
      <c r="W677" s="192"/>
      <c r="X677" s="192"/>
      <c r="Y677" s="192"/>
      <c r="Z677" s="192"/>
      <c r="AA677" s="192"/>
      <c r="AB677" s="192"/>
      <c r="AC677" s="192"/>
      <c r="AD677" s="192"/>
      <c r="AE677" s="192"/>
      <c r="AF677" s="192"/>
      <c r="AG677" s="192"/>
      <c r="AH677" s="192"/>
      <c r="AI677" s="192"/>
      <c r="AJ677" s="192"/>
      <c r="AK677" s="192"/>
      <c r="AL677" s="192"/>
      <c r="AM677" s="192"/>
      <c r="AN677" s="192"/>
      <c r="AO677" s="192"/>
      <c r="AP677" s="192"/>
      <c r="AQ677" s="192"/>
      <c r="AR677" s="192"/>
      <c r="AS677" s="192"/>
      <c r="AT677" s="192"/>
      <c r="AU677" s="192"/>
      <c r="AV677" s="192"/>
    </row>
    <row r="678">
      <c r="A678" s="192"/>
      <c r="B678" s="192"/>
      <c r="C678" s="192"/>
      <c r="D678" s="192"/>
      <c r="E678" s="192"/>
      <c r="F678" s="192"/>
      <c r="G678" s="192"/>
      <c r="H678" s="192"/>
      <c r="I678" s="192"/>
      <c r="J678" s="192"/>
      <c r="K678" s="192"/>
      <c r="L678" s="192"/>
      <c r="M678" s="192"/>
      <c r="N678" s="192"/>
      <c r="O678" s="192"/>
      <c r="P678" s="192"/>
      <c r="Q678" s="192"/>
      <c r="R678" s="192"/>
      <c r="S678" s="192"/>
      <c r="T678" s="192"/>
      <c r="U678" s="192"/>
      <c r="V678" s="192"/>
      <c r="W678" s="192"/>
      <c r="X678" s="192"/>
      <c r="Y678" s="192"/>
      <c r="Z678" s="192"/>
      <c r="AA678" s="192"/>
      <c r="AB678" s="192"/>
      <c r="AC678" s="192"/>
      <c r="AD678" s="192"/>
      <c r="AE678" s="192"/>
      <c r="AF678" s="192"/>
      <c r="AG678" s="192"/>
      <c r="AH678" s="192"/>
      <c r="AI678" s="192"/>
      <c r="AJ678" s="192"/>
      <c r="AK678" s="192"/>
      <c r="AL678" s="192"/>
      <c r="AM678" s="192"/>
      <c r="AN678" s="192"/>
      <c r="AO678" s="192"/>
      <c r="AP678" s="192"/>
      <c r="AQ678" s="192"/>
      <c r="AR678" s="192"/>
      <c r="AS678" s="192"/>
      <c r="AT678" s="192"/>
      <c r="AU678" s="192"/>
      <c r="AV678" s="192"/>
    </row>
    <row r="679">
      <c r="A679" s="192"/>
      <c r="B679" s="192"/>
      <c r="C679" s="192"/>
      <c r="D679" s="192"/>
      <c r="E679" s="192"/>
      <c r="F679" s="192"/>
      <c r="G679" s="192"/>
      <c r="H679" s="192"/>
      <c r="I679" s="192"/>
      <c r="J679" s="192"/>
      <c r="K679" s="192"/>
      <c r="L679" s="192"/>
      <c r="M679" s="192"/>
      <c r="N679" s="192"/>
      <c r="O679" s="192"/>
      <c r="P679" s="192"/>
      <c r="Q679" s="192"/>
      <c r="R679" s="192"/>
      <c r="S679" s="192"/>
      <c r="T679" s="192"/>
      <c r="U679" s="192"/>
      <c r="V679" s="192"/>
      <c r="W679" s="192"/>
      <c r="X679" s="192"/>
      <c r="Y679" s="192"/>
      <c r="Z679" s="192"/>
      <c r="AA679" s="192"/>
      <c r="AB679" s="192"/>
      <c r="AC679" s="192"/>
      <c r="AD679" s="192"/>
      <c r="AE679" s="192"/>
      <c r="AF679" s="192"/>
      <c r="AG679" s="192"/>
      <c r="AH679" s="192"/>
      <c r="AI679" s="192"/>
      <c r="AJ679" s="192"/>
      <c r="AK679" s="192"/>
      <c r="AL679" s="192"/>
      <c r="AM679" s="192"/>
      <c r="AN679" s="192"/>
      <c r="AO679" s="192"/>
      <c r="AP679" s="192"/>
      <c r="AQ679" s="192"/>
      <c r="AR679" s="192"/>
      <c r="AS679" s="192"/>
      <c r="AT679" s="192"/>
      <c r="AU679" s="192"/>
      <c r="AV679" s="192"/>
    </row>
    <row r="680">
      <c r="A680" s="192"/>
      <c r="B680" s="192"/>
      <c r="C680" s="192"/>
      <c r="D680" s="192"/>
      <c r="E680" s="192"/>
      <c r="F680" s="192"/>
      <c r="G680" s="192"/>
      <c r="H680" s="192"/>
      <c r="I680" s="192"/>
      <c r="J680" s="192"/>
      <c r="K680" s="192"/>
      <c r="L680" s="192"/>
      <c r="M680" s="192"/>
      <c r="N680" s="192"/>
      <c r="O680" s="192"/>
      <c r="P680" s="192"/>
      <c r="Q680" s="192"/>
      <c r="R680" s="192"/>
      <c r="S680" s="192"/>
      <c r="T680" s="192"/>
      <c r="U680" s="192"/>
      <c r="V680" s="192"/>
      <c r="W680" s="192"/>
      <c r="X680" s="192"/>
      <c r="Y680" s="192"/>
      <c r="Z680" s="192"/>
      <c r="AA680" s="192"/>
      <c r="AB680" s="192"/>
      <c r="AC680" s="192"/>
      <c r="AD680" s="192"/>
      <c r="AE680" s="192"/>
      <c r="AF680" s="192"/>
      <c r="AG680" s="192"/>
      <c r="AH680" s="192"/>
      <c r="AI680" s="192"/>
      <c r="AJ680" s="192"/>
      <c r="AK680" s="192"/>
      <c r="AL680" s="192"/>
      <c r="AM680" s="192"/>
      <c r="AN680" s="192"/>
      <c r="AO680" s="192"/>
      <c r="AP680" s="192"/>
      <c r="AQ680" s="192"/>
      <c r="AR680" s="192"/>
      <c r="AS680" s="192"/>
      <c r="AT680" s="192"/>
      <c r="AU680" s="192"/>
      <c r="AV680" s="192"/>
    </row>
    <row r="681">
      <c r="A681" s="192"/>
      <c r="B681" s="192"/>
      <c r="C681" s="192"/>
      <c r="D681" s="192"/>
      <c r="E681" s="192"/>
      <c r="F681" s="192"/>
      <c r="G681" s="192"/>
      <c r="H681" s="192"/>
      <c r="I681" s="192"/>
      <c r="J681" s="192"/>
      <c r="K681" s="192"/>
      <c r="L681" s="192"/>
      <c r="M681" s="192"/>
      <c r="N681" s="192"/>
      <c r="O681" s="192"/>
      <c r="P681" s="192"/>
      <c r="Q681" s="192"/>
      <c r="R681" s="192"/>
      <c r="S681" s="192"/>
      <c r="T681" s="192"/>
      <c r="U681" s="192"/>
      <c r="V681" s="192"/>
      <c r="W681" s="192"/>
      <c r="X681" s="192"/>
      <c r="Y681" s="192"/>
      <c r="Z681" s="192"/>
      <c r="AA681" s="192"/>
      <c r="AB681" s="192"/>
      <c r="AC681" s="192"/>
      <c r="AD681" s="192"/>
      <c r="AE681" s="192"/>
      <c r="AF681" s="192"/>
      <c r="AG681" s="192"/>
      <c r="AH681" s="192"/>
      <c r="AI681" s="192"/>
      <c r="AJ681" s="192"/>
      <c r="AK681" s="192"/>
      <c r="AL681" s="192"/>
      <c r="AM681" s="192"/>
      <c r="AN681" s="192"/>
      <c r="AO681" s="192"/>
      <c r="AP681" s="192"/>
      <c r="AQ681" s="192"/>
      <c r="AR681" s="192"/>
      <c r="AS681" s="192"/>
      <c r="AT681" s="192"/>
      <c r="AU681" s="192"/>
      <c r="AV681" s="192"/>
    </row>
    <row r="682">
      <c r="A682" s="192"/>
      <c r="B682" s="192"/>
      <c r="C682" s="192"/>
      <c r="D682" s="192"/>
      <c r="E682" s="192"/>
      <c r="F682" s="192"/>
      <c r="G682" s="192"/>
      <c r="H682" s="192"/>
      <c r="I682" s="192"/>
      <c r="J682" s="192"/>
      <c r="K682" s="192"/>
      <c r="L682" s="192"/>
      <c r="M682" s="192"/>
      <c r="N682" s="192"/>
      <c r="O682" s="192"/>
      <c r="P682" s="192"/>
      <c r="Q682" s="192"/>
      <c r="R682" s="192"/>
      <c r="S682" s="192"/>
      <c r="T682" s="192"/>
      <c r="U682" s="192"/>
      <c r="V682" s="192"/>
      <c r="W682" s="192"/>
      <c r="X682" s="192"/>
      <c r="Y682" s="192"/>
      <c r="Z682" s="192"/>
      <c r="AA682" s="192"/>
      <c r="AB682" s="192"/>
      <c r="AC682" s="192"/>
      <c r="AD682" s="192"/>
      <c r="AE682" s="192"/>
      <c r="AF682" s="192"/>
      <c r="AG682" s="192"/>
      <c r="AH682" s="192"/>
      <c r="AI682" s="192"/>
      <c r="AJ682" s="192"/>
      <c r="AK682" s="192"/>
      <c r="AL682" s="192"/>
      <c r="AM682" s="192"/>
      <c r="AN682" s="192"/>
      <c r="AO682" s="192"/>
      <c r="AP682" s="192"/>
      <c r="AQ682" s="192"/>
      <c r="AR682" s="192"/>
      <c r="AS682" s="192"/>
      <c r="AT682" s="192"/>
      <c r="AU682" s="192"/>
      <c r="AV682" s="192"/>
    </row>
    <row r="683">
      <c r="A683" s="192"/>
      <c r="B683" s="192"/>
      <c r="C683" s="192"/>
      <c r="D683" s="192"/>
      <c r="E683" s="192"/>
      <c r="F683" s="192"/>
      <c r="G683" s="192"/>
      <c r="H683" s="192"/>
      <c r="I683" s="192"/>
      <c r="J683" s="192"/>
      <c r="K683" s="192"/>
      <c r="L683" s="192"/>
      <c r="M683" s="192"/>
      <c r="N683" s="192"/>
      <c r="O683" s="192"/>
      <c r="P683" s="192"/>
      <c r="Q683" s="192"/>
      <c r="R683" s="192"/>
      <c r="S683" s="192"/>
      <c r="T683" s="192"/>
      <c r="U683" s="192"/>
      <c r="V683" s="192"/>
      <c r="W683" s="192"/>
      <c r="X683" s="192"/>
      <c r="Y683" s="192"/>
      <c r="Z683" s="192"/>
      <c r="AA683" s="192"/>
      <c r="AB683" s="192"/>
      <c r="AC683" s="192"/>
      <c r="AD683" s="192"/>
      <c r="AE683" s="192"/>
      <c r="AF683" s="192"/>
      <c r="AG683" s="192"/>
      <c r="AH683" s="192"/>
      <c r="AI683" s="192"/>
      <c r="AJ683" s="192"/>
      <c r="AK683" s="192"/>
      <c r="AL683" s="192"/>
      <c r="AM683" s="192"/>
      <c r="AN683" s="192"/>
      <c r="AO683" s="192"/>
      <c r="AP683" s="192"/>
      <c r="AQ683" s="192"/>
      <c r="AR683" s="192"/>
      <c r="AS683" s="192"/>
      <c r="AT683" s="192"/>
      <c r="AU683" s="192"/>
      <c r="AV683" s="192"/>
    </row>
    <row r="684">
      <c r="A684" s="192"/>
      <c r="B684" s="192"/>
      <c r="C684" s="192"/>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192"/>
      <c r="Z684" s="192"/>
      <c r="AA684" s="192"/>
      <c r="AB684" s="192"/>
      <c r="AC684" s="192"/>
      <c r="AD684" s="192"/>
      <c r="AE684" s="192"/>
      <c r="AF684" s="192"/>
      <c r="AG684" s="192"/>
      <c r="AH684" s="192"/>
      <c r="AI684" s="192"/>
      <c r="AJ684" s="192"/>
      <c r="AK684" s="192"/>
      <c r="AL684" s="192"/>
      <c r="AM684" s="192"/>
      <c r="AN684" s="192"/>
      <c r="AO684" s="192"/>
      <c r="AP684" s="192"/>
      <c r="AQ684" s="192"/>
      <c r="AR684" s="192"/>
      <c r="AS684" s="192"/>
      <c r="AT684" s="192"/>
      <c r="AU684" s="192"/>
      <c r="AV684" s="192"/>
    </row>
    <row r="685">
      <c r="A685" s="192"/>
      <c r="B685" s="192"/>
      <c r="C685" s="192"/>
      <c r="D685" s="192"/>
      <c r="E685" s="192"/>
      <c r="F685" s="192"/>
      <c r="G685" s="192"/>
      <c r="H685" s="192"/>
      <c r="I685" s="192"/>
      <c r="J685" s="192"/>
      <c r="K685" s="192"/>
      <c r="L685" s="192"/>
      <c r="M685" s="192"/>
      <c r="N685" s="192"/>
      <c r="O685" s="192"/>
      <c r="P685" s="192"/>
      <c r="Q685" s="192"/>
      <c r="R685" s="192"/>
      <c r="S685" s="192"/>
      <c r="T685" s="192"/>
      <c r="U685" s="192"/>
      <c r="V685" s="192"/>
      <c r="W685" s="192"/>
      <c r="X685" s="192"/>
      <c r="Y685" s="192"/>
      <c r="Z685" s="192"/>
      <c r="AA685" s="192"/>
      <c r="AB685" s="192"/>
      <c r="AC685" s="192"/>
      <c r="AD685" s="192"/>
      <c r="AE685" s="192"/>
      <c r="AF685" s="192"/>
      <c r="AG685" s="192"/>
      <c r="AH685" s="192"/>
      <c r="AI685" s="192"/>
      <c r="AJ685" s="192"/>
      <c r="AK685" s="192"/>
      <c r="AL685" s="192"/>
      <c r="AM685" s="192"/>
      <c r="AN685" s="192"/>
      <c r="AO685" s="192"/>
      <c r="AP685" s="192"/>
      <c r="AQ685" s="192"/>
      <c r="AR685" s="192"/>
      <c r="AS685" s="192"/>
      <c r="AT685" s="192"/>
      <c r="AU685" s="192"/>
      <c r="AV685" s="192"/>
    </row>
    <row r="686">
      <c r="A686" s="192"/>
      <c r="B686" s="192"/>
      <c r="C686" s="192"/>
      <c r="D686" s="192"/>
      <c r="E686" s="192"/>
      <c r="F686" s="192"/>
      <c r="G686" s="192"/>
      <c r="H686" s="192"/>
      <c r="I686" s="192"/>
      <c r="J686" s="192"/>
      <c r="K686" s="192"/>
      <c r="L686" s="192"/>
      <c r="M686" s="192"/>
      <c r="N686" s="192"/>
      <c r="O686" s="192"/>
      <c r="P686" s="192"/>
      <c r="Q686" s="192"/>
      <c r="R686" s="192"/>
      <c r="S686" s="192"/>
      <c r="T686" s="192"/>
      <c r="U686" s="192"/>
      <c r="V686" s="192"/>
      <c r="W686" s="192"/>
      <c r="X686" s="192"/>
      <c r="Y686" s="192"/>
      <c r="Z686" s="192"/>
      <c r="AA686" s="192"/>
      <c r="AB686" s="192"/>
      <c r="AC686" s="192"/>
      <c r="AD686" s="192"/>
      <c r="AE686" s="192"/>
      <c r="AF686" s="192"/>
      <c r="AG686" s="192"/>
      <c r="AH686" s="192"/>
      <c r="AI686" s="192"/>
      <c r="AJ686" s="192"/>
      <c r="AK686" s="192"/>
      <c r="AL686" s="192"/>
      <c r="AM686" s="192"/>
      <c r="AN686" s="192"/>
      <c r="AO686" s="192"/>
      <c r="AP686" s="192"/>
      <c r="AQ686" s="192"/>
      <c r="AR686" s="192"/>
      <c r="AS686" s="192"/>
      <c r="AT686" s="192"/>
      <c r="AU686" s="192"/>
      <c r="AV686" s="192"/>
    </row>
    <row r="687">
      <c r="A687" s="192"/>
      <c r="B687" s="192"/>
      <c r="C687" s="192"/>
      <c r="D687" s="192"/>
      <c r="E687" s="192"/>
      <c r="F687" s="192"/>
      <c r="G687" s="192"/>
      <c r="H687" s="192"/>
      <c r="I687" s="192"/>
      <c r="J687" s="192"/>
      <c r="K687" s="192"/>
      <c r="L687" s="192"/>
      <c r="M687" s="192"/>
      <c r="N687" s="192"/>
      <c r="O687" s="192"/>
      <c r="P687" s="192"/>
      <c r="Q687" s="192"/>
      <c r="R687" s="192"/>
      <c r="S687" s="192"/>
      <c r="T687" s="192"/>
      <c r="U687" s="192"/>
      <c r="V687" s="192"/>
      <c r="W687" s="192"/>
      <c r="X687" s="192"/>
      <c r="Y687" s="192"/>
      <c r="Z687" s="192"/>
      <c r="AA687" s="192"/>
      <c r="AB687" s="192"/>
      <c r="AC687" s="192"/>
      <c r="AD687" s="192"/>
      <c r="AE687" s="192"/>
      <c r="AF687" s="192"/>
      <c r="AG687" s="192"/>
      <c r="AH687" s="192"/>
      <c r="AI687" s="192"/>
      <c r="AJ687" s="192"/>
      <c r="AK687" s="192"/>
      <c r="AL687" s="192"/>
      <c r="AM687" s="192"/>
      <c r="AN687" s="192"/>
      <c r="AO687" s="192"/>
      <c r="AP687" s="192"/>
      <c r="AQ687" s="192"/>
      <c r="AR687" s="192"/>
      <c r="AS687" s="192"/>
      <c r="AT687" s="192"/>
      <c r="AU687" s="192"/>
      <c r="AV687" s="192"/>
    </row>
    <row r="688">
      <c r="A688" s="192"/>
      <c r="B688" s="192"/>
      <c r="C688" s="192"/>
      <c r="D688" s="192"/>
      <c r="E688" s="192"/>
      <c r="F688" s="192"/>
      <c r="G688" s="192"/>
      <c r="H688" s="192"/>
      <c r="I688" s="192"/>
      <c r="J688" s="192"/>
      <c r="K688" s="192"/>
      <c r="L688" s="192"/>
      <c r="M688" s="192"/>
      <c r="N688" s="192"/>
      <c r="O688" s="192"/>
      <c r="P688" s="192"/>
      <c r="Q688" s="192"/>
      <c r="R688" s="192"/>
      <c r="S688" s="192"/>
      <c r="T688" s="192"/>
      <c r="U688" s="192"/>
      <c r="V688" s="192"/>
      <c r="W688" s="192"/>
      <c r="X688" s="192"/>
      <c r="Y688" s="192"/>
      <c r="Z688" s="192"/>
      <c r="AA688" s="192"/>
      <c r="AB688" s="192"/>
      <c r="AC688" s="192"/>
      <c r="AD688" s="192"/>
      <c r="AE688" s="192"/>
      <c r="AF688" s="192"/>
      <c r="AG688" s="192"/>
      <c r="AH688" s="192"/>
      <c r="AI688" s="192"/>
      <c r="AJ688" s="192"/>
      <c r="AK688" s="192"/>
      <c r="AL688" s="192"/>
      <c r="AM688" s="192"/>
      <c r="AN688" s="192"/>
      <c r="AO688" s="192"/>
      <c r="AP688" s="192"/>
      <c r="AQ688" s="192"/>
      <c r="AR688" s="192"/>
      <c r="AS688" s="192"/>
      <c r="AT688" s="192"/>
      <c r="AU688" s="192"/>
      <c r="AV688" s="192"/>
    </row>
    <row r="689">
      <c r="A689" s="192"/>
      <c r="B689" s="192"/>
      <c r="C689" s="192"/>
      <c r="D689" s="192"/>
      <c r="E689" s="192"/>
      <c r="F689" s="192"/>
      <c r="G689" s="192"/>
      <c r="H689" s="192"/>
      <c r="I689" s="192"/>
      <c r="J689" s="192"/>
      <c r="K689" s="192"/>
      <c r="L689" s="192"/>
      <c r="M689" s="192"/>
      <c r="N689" s="192"/>
      <c r="O689" s="192"/>
      <c r="P689" s="192"/>
      <c r="Q689" s="192"/>
      <c r="R689" s="192"/>
      <c r="S689" s="192"/>
      <c r="T689" s="192"/>
      <c r="U689" s="192"/>
      <c r="V689" s="192"/>
      <c r="W689" s="192"/>
      <c r="X689" s="192"/>
      <c r="Y689" s="192"/>
      <c r="Z689" s="192"/>
      <c r="AA689" s="192"/>
      <c r="AB689" s="192"/>
      <c r="AC689" s="192"/>
      <c r="AD689" s="192"/>
      <c r="AE689" s="192"/>
      <c r="AF689" s="192"/>
      <c r="AG689" s="192"/>
      <c r="AH689" s="192"/>
      <c r="AI689" s="192"/>
      <c r="AJ689" s="192"/>
      <c r="AK689" s="192"/>
      <c r="AL689" s="192"/>
      <c r="AM689" s="192"/>
      <c r="AN689" s="192"/>
      <c r="AO689" s="192"/>
      <c r="AP689" s="192"/>
      <c r="AQ689" s="192"/>
      <c r="AR689" s="192"/>
      <c r="AS689" s="192"/>
      <c r="AT689" s="192"/>
      <c r="AU689" s="192"/>
      <c r="AV689" s="192"/>
    </row>
    <row r="690">
      <c r="A690" s="192"/>
      <c r="B690" s="192"/>
      <c r="C690" s="192"/>
      <c r="D690" s="192"/>
      <c r="E690" s="192"/>
      <c r="F690" s="192"/>
      <c r="G690" s="192"/>
      <c r="H690" s="192"/>
      <c r="I690" s="192"/>
      <c r="J690" s="192"/>
      <c r="K690" s="192"/>
      <c r="L690" s="192"/>
      <c r="M690" s="192"/>
      <c r="N690" s="192"/>
      <c r="O690" s="192"/>
      <c r="P690" s="192"/>
      <c r="Q690" s="192"/>
      <c r="R690" s="192"/>
      <c r="S690" s="192"/>
      <c r="T690" s="192"/>
      <c r="U690" s="192"/>
      <c r="V690" s="192"/>
      <c r="W690" s="192"/>
      <c r="X690" s="192"/>
      <c r="Y690" s="192"/>
      <c r="Z690" s="192"/>
      <c r="AA690" s="192"/>
      <c r="AB690" s="192"/>
      <c r="AC690" s="192"/>
      <c r="AD690" s="192"/>
      <c r="AE690" s="192"/>
      <c r="AF690" s="192"/>
      <c r="AG690" s="192"/>
      <c r="AH690" s="192"/>
      <c r="AI690" s="192"/>
      <c r="AJ690" s="192"/>
      <c r="AK690" s="192"/>
      <c r="AL690" s="192"/>
      <c r="AM690" s="192"/>
      <c r="AN690" s="192"/>
      <c r="AO690" s="192"/>
      <c r="AP690" s="192"/>
      <c r="AQ690" s="192"/>
      <c r="AR690" s="192"/>
      <c r="AS690" s="192"/>
      <c r="AT690" s="192"/>
      <c r="AU690" s="192"/>
      <c r="AV690" s="192"/>
    </row>
    <row r="691">
      <c r="A691" s="192"/>
      <c r="B691" s="192"/>
      <c r="C691" s="192"/>
      <c r="D691" s="192"/>
      <c r="E691" s="192"/>
      <c r="F691" s="192"/>
      <c r="G691" s="192"/>
      <c r="H691" s="192"/>
      <c r="I691" s="192"/>
      <c r="J691" s="192"/>
      <c r="K691" s="192"/>
      <c r="L691" s="192"/>
      <c r="M691" s="192"/>
      <c r="N691" s="192"/>
      <c r="O691" s="192"/>
      <c r="P691" s="192"/>
      <c r="Q691" s="192"/>
      <c r="R691" s="192"/>
      <c r="S691" s="192"/>
      <c r="T691" s="192"/>
      <c r="U691" s="192"/>
      <c r="V691" s="192"/>
      <c r="W691" s="192"/>
      <c r="X691" s="192"/>
      <c r="Y691" s="192"/>
      <c r="Z691" s="192"/>
      <c r="AA691" s="192"/>
      <c r="AB691" s="192"/>
      <c r="AC691" s="192"/>
      <c r="AD691" s="192"/>
      <c r="AE691" s="192"/>
      <c r="AF691" s="192"/>
      <c r="AG691" s="192"/>
      <c r="AH691" s="192"/>
      <c r="AI691" s="192"/>
      <c r="AJ691" s="192"/>
      <c r="AK691" s="192"/>
      <c r="AL691" s="192"/>
      <c r="AM691" s="192"/>
      <c r="AN691" s="192"/>
      <c r="AO691" s="192"/>
      <c r="AP691" s="192"/>
      <c r="AQ691" s="192"/>
      <c r="AR691" s="192"/>
      <c r="AS691" s="192"/>
      <c r="AT691" s="192"/>
      <c r="AU691" s="192"/>
      <c r="AV691" s="192"/>
    </row>
    <row r="692">
      <c r="A692" s="192"/>
      <c r="B692" s="192"/>
      <c r="C692" s="192"/>
      <c r="D692" s="192"/>
      <c r="E692" s="192"/>
      <c r="F692" s="192"/>
      <c r="G692" s="192"/>
      <c r="H692" s="192"/>
      <c r="I692" s="192"/>
      <c r="J692" s="192"/>
      <c r="K692" s="192"/>
      <c r="L692" s="192"/>
      <c r="M692" s="192"/>
      <c r="N692" s="192"/>
      <c r="O692" s="192"/>
      <c r="P692" s="192"/>
      <c r="Q692" s="192"/>
      <c r="R692" s="192"/>
      <c r="S692" s="192"/>
      <c r="T692" s="192"/>
      <c r="U692" s="192"/>
      <c r="V692" s="192"/>
      <c r="W692" s="192"/>
      <c r="X692" s="192"/>
      <c r="Y692" s="192"/>
      <c r="Z692" s="192"/>
      <c r="AA692" s="192"/>
      <c r="AB692" s="192"/>
      <c r="AC692" s="192"/>
      <c r="AD692" s="192"/>
      <c r="AE692" s="192"/>
      <c r="AF692" s="192"/>
      <c r="AG692" s="192"/>
      <c r="AH692" s="192"/>
      <c r="AI692" s="192"/>
      <c r="AJ692" s="192"/>
      <c r="AK692" s="192"/>
      <c r="AL692" s="192"/>
      <c r="AM692" s="192"/>
      <c r="AN692" s="192"/>
      <c r="AO692" s="192"/>
      <c r="AP692" s="192"/>
      <c r="AQ692" s="192"/>
      <c r="AR692" s="192"/>
      <c r="AS692" s="192"/>
      <c r="AT692" s="192"/>
      <c r="AU692" s="192"/>
      <c r="AV692" s="192"/>
    </row>
    <row r="693">
      <c r="A693" s="192"/>
      <c r="B693" s="192"/>
      <c r="C693" s="192"/>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c r="Z693" s="192"/>
      <c r="AA693" s="192"/>
      <c r="AB693" s="192"/>
      <c r="AC693" s="192"/>
      <c r="AD693" s="192"/>
      <c r="AE693" s="192"/>
      <c r="AF693" s="192"/>
      <c r="AG693" s="192"/>
      <c r="AH693" s="192"/>
      <c r="AI693" s="192"/>
      <c r="AJ693" s="192"/>
      <c r="AK693" s="192"/>
      <c r="AL693" s="192"/>
      <c r="AM693" s="192"/>
      <c r="AN693" s="192"/>
      <c r="AO693" s="192"/>
      <c r="AP693" s="192"/>
      <c r="AQ693" s="192"/>
      <c r="AR693" s="192"/>
      <c r="AS693" s="192"/>
      <c r="AT693" s="192"/>
      <c r="AU693" s="192"/>
      <c r="AV693" s="192"/>
    </row>
    <row r="694">
      <c r="A694" s="192"/>
      <c r="B694" s="192"/>
      <c r="C694" s="192"/>
      <c r="D694" s="192"/>
      <c r="E694" s="192"/>
      <c r="F694" s="192"/>
      <c r="G694" s="192"/>
      <c r="H694" s="192"/>
      <c r="I694" s="192"/>
      <c r="J694" s="192"/>
      <c r="K694" s="192"/>
      <c r="L694" s="192"/>
      <c r="M694" s="192"/>
      <c r="N694" s="192"/>
      <c r="O694" s="192"/>
      <c r="P694" s="192"/>
      <c r="Q694" s="192"/>
      <c r="R694" s="192"/>
      <c r="S694" s="192"/>
      <c r="T694" s="192"/>
      <c r="U694" s="192"/>
      <c r="V694" s="192"/>
      <c r="W694" s="192"/>
      <c r="X694" s="192"/>
      <c r="Y694" s="192"/>
      <c r="Z694" s="192"/>
      <c r="AA694" s="192"/>
      <c r="AB694" s="192"/>
      <c r="AC694" s="192"/>
      <c r="AD694" s="192"/>
      <c r="AE694" s="192"/>
      <c r="AF694" s="192"/>
      <c r="AG694" s="192"/>
      <c r="AH694" s="192"/>
      <c r="AI694" s="192"/>
      <c r="AJ694" s="192"/>
      <c r="AK694" s="192"/>
      <c r="AL694" s="192"/>
      <c r="AM694" s="192"/>
      <c r="AN694" s="192"/>
      <c r="AO694" s="192"/>
      <c r="AP694" s="192"/>
      <c r="AQ694" s="192"/>
      <c r="AR694" s="192"/>
      <c r="AS694" s="192"/>
      <c r="AT694" s="192"/>
      <c r="AU694" s="192"/>
      <c r="AV694" s="192"/>
    </row>
    <row r="695">
      <c r="A695" s="192"/>
      <c r="B695" s="192"/>
      <c r="C695" s="192"/>
      <c r="D695" s="192"/>
      <c r="E695" s="192"/>
      <c r="F695" s="192"/>
      <c r="G695" s="192"/>
      <c r="H695" s="192"/>
      <c r="I695" s="192"/>
      <c r="J695" s="192"/>
      <c r="K695" s="192"/>
      <c r="L695" s="192"/>
      <c r="M695" s="192"/>
      <c r="N695" s="192"/>
      <c r="O695" s="192"/>
      <c r="P695" s="192"/>
      <c r="Q695" s="192"/>
      <c r="R695" s="192"/>
      <c r="S695" s="192"/>
      <c r="T695" s="192"/>
      <c r="U695" s="192"/>
      <c r="V695" s="192"/>
      <c r="W695" s="192"/>
      <c r="X695" s="192"/>
      <c r="Y695" s="192"/>
      <c r="Z695" s="192"/>
      <c r="AA695" s="192"/>
      <c r="AB695" s="192"/>
      <c r="AC695" s="192"/>
      <c r="AD695" s="192"/>
      <c r="AE695" s="192"/>
      <c r="AF695" s="192"/>
      <c r="AG695" s="192"/>
      <c r="AH695" s="192"/>
      <c r="AI695" s="192"/>
      <c r="AJ695" s="192"/>
      <c r="AK695" s="192"/>
      <c r="AL695" s="192"/>
      <c r="AM695" s="192"/>
      <c r="AN695" s="192"/>
      <c r="AO695" s="192"/>
      <c r="AP695" s="192"/>
      <c r="AQ695" s="192"/>
      <c r="AR695" s="192"/>
      <c r="AS695" s="192"/>
      <c r="AT695" s="192"/>
      <c r="AU695" s="192"/>
      <c r="AV695" s="192"/>
    </row>
    <row r="696">
      <c r="A696" s="192"/>
      <c r="B696" s="192"/>
      <c r="C696" s="192"/>
      <c r="D696" s="192"/>
      <c r="E696" s="192"/>
      <c r="F696" s="192"/>
      <c r="G696" s="192"/>
      <c r="H696" s="192"/>
      <c r="I696" s="192"/>
      <c r="J696" s="192"/>
      <c r="K696" s="192"/>
      <c r="L696" s="192"/>
      <c r="M696" s="192"/>
      <c r="N696" s="192"/>
      <c r="O696" s="192"/>
      <c r="P696" s="192"/>
      <c r="Q696" s="192"/>
      <c r="R696" s="192"/>
      <c r="S696" s="192"/>
      <c r="T696" s="192"/>
      <c r="U696" s="192"/>
      <c r="V696" s="192"/>
      <c r="W696" s="192"/>
      <c r="X696" s="192"/>
      <c r="Y696" s="192"/>
      <c r="Z696" s="192"/>
      <c r="AA696" s="192"/>
      <c r="AB696" s="192"/>
      <c r="AC696" s="192"/>
      <c r="AD696" s="192"/>
      <c r="AE696" s="192"/>
      <c r="AF696" s="192"/>
      <c r="AG696" s="192"/>
      <c r="AH696" s="192"/>
      <c r="AI696" s="192"/>
      <c r="AJ696" s="192"/>
      <c r="AK696" s="192"/>
      <c r="AL696" s="192"/>
      <c r="AM696" s="192"/>
      <c r="AN696" s="192"/>
      <c r="AO696" s="192"/>
      <c r="AP696" s="192"/>
      <c r="AQ696" s="192"/>
      <c r="AR696" s="192"/>
      <c r="AS696" s="192"/>
      <c r="AT696" s="192"/>
      <c r="AU696" s="192"/>
      <c r="AV696" s="192"/>
    </row>
    <row r="697">
      <c r="A697" s="192"/>
      <c r="B697" s="192"/>
      <c r="C697" s="192"/>
      <c r="D697" s="192"/>
      <c r="E697" s="192"/>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row>
    <row r="698">
      <c r="A698" s="192"/>
      <c r="B698" s="192"/>
      <c r="C698" s="192"/>
      <c r="D698" s="192"/>
      <c r="E698" s="192"/>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row>
    <row r="699">
      <c r="A699" s="192"/>
      <c r="B699" s="192"/>
      <c r="C699" s="192"/>
      <c r="D699" s="192"/>
      <c r="E699" s="192"/>
      <c r="F699" s="192"/>
      <c r="G699" s="192"/>
      <c r="H699" s="192"/>
      <c r="I699" s="192"/>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AE699" s="192"/>
      <c r="AF699" s="192"/>
      <c r="AG699" s="192"/>
      <c r="AH699" s="192"/>
      <c r="AI699" s="192"/>
      <c r="AJ699" s="192"/>
      <c r="AK699" s="192"/>
      <c r="AL699" s="192"/>
      <c r="AM699" s="192"/>
      <c r="AN699" s="192"/>
      <c r="AO699" s="192"/>
      <c r="AP699" s="192"/>
      <c r="AQ699" s="192"/>
      <c r="AR699" s="192"/>
      <c r="AS699" s="192"/>
      <c r="AT699" s="192"/>
      <c r="AU699" s="192"/>
      <c r="AV699" s="192"/>
    </row>
    <row r="700">
      <c r="A700" s="192"/>
      <c r="B700" s="192"/>
      <c r="C700" s="192"/>
      <c r="D700" s="192"/>
      <c r="E700" s="192"/>
      <c r="F700" s="192"/>
      <c r="G700" s="192"/>
      <c r="H700" s="192"/>
      <c r="I700" s="192"/>
      <c r="J700" s="192"/>
      <c r="K700" s="192"/>
      <c r="L700" s="192"/>
      <c r="M700" s="192"/>
      <c r="N700" s="192"/>
      <c r="O700" s="192"/>
      <c r="P700" s="192"/>
      <c r="Q700" s="192"/>
      <c r="R700" s="192"/>
      <c r="S700" s="192"/>
      <c r="T700" s="192"/>
      <c r="U700" s="192"/>
      <c r="V700" s="192"/>
      <c r="W700" s="192"/>
      <c r="X700" s="192"/>
      <c r="Y700" s="192"/>
      <c r="Z700" s="192"/>
      <c r="AA700" s="192"/>
      <c r="AB700" s="192"/>
      <c r="AC700" s="192"/>
      <c r="AD700" s="192"/>
      <c r="AE700" s="192"/>
      <c r="AF700" s="192"/>
      <c r="AG700" s="192"/>
      <c r="AH700" s="192"/>
      <c r="AI700" s="192"/>
      <c r="AJ700" s="192"/>
      <c r="AK700" s="192"/>
      <c r="AL700" s="192"/>
      <c r="AM700" s="192"/>
      <c r="AN700" s="192"/>
      <c r="AO700" s="192"/>
      <c r="AP700" s="192"/>
      <c r="AQ700" s="192"/>
      <c r="AR700" s="192"/>
      <c r="AS700" s="192"/>
      <c r="AT700" s="192"/>
      <c r="AU700" s="192"/>
      <c r="AV700" s="192"/>
    </row>
    <row r="701">
      <c r="A701" s="192"/>
      <c r="B701" s="192"/>
      <c r="C701" s="192"/>
      <c r="D701" s="192"/>
      <c r="E701" s="192"/>
      <c r="F701" s="192"/>
      <c r="G701" s="192"/>
      <c r="H701" s="192"/>
      <c r="I701" s="192"/>
      <c r="J701" s="192"/>
      <c r="K701" s="192"/>
      <c r="L701" s="192"/>
      <c r="M701" s="192"/>
      <c r="N701" s="192"/>
      <c r="O701" s="192"/>
      <c r="P701" s="192"/>
      <c r="Q701" s="192"/>
      <c r="R701" s="192"/>
      <c r="S701" s="192"/>
      <c r="T701" s="192"/>
      <c r="U701" s="192"/>
      <c r="V701" s="192"/>
      <c r="W701" s="192"/>
      <c r="X701" s="192"/>
      <c r="Y701" s="192"/>
      <c r="Z701" s="192"/>
      <c r="AA701" s="192"/>
      <c r="AB701" s="192"/>
      <c r="AC701" s="192"/>
      <c r="AD701" s="192"/>
      <c r="AE701" s="192"/>
      <c r="AF701" s="192"/>
      <c r="AG701" s="192"/>
      <c r="AH701" s="192"/>
      <c r="AI701" s="192"/>
      <c r="AJ701" s="192"/>
      <c r="AK701" s="192"/>
      <c r="AL701" s="192"/>
      <c r="AM701" s="192"/>
      <c r="AN701" s="192"/>
      <c r="AO701" s="192"/>
      <c r="AP701" s="192"/>
      <c r="AQ701" s="192"/>
      <c r="AR701" s="192"/>
      <c r="AS701" s="192"/>
      <c r="AT701" s="192"/>
      <c r="AU701" s="192"/>
      <c r="AV701" s="192"/>
    </row>
    <row r="702">
      <c r="A702" s="192"/>
      <c r="B702" s="192"/>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c r="AA702" s="192"/>
      <c r="AB702" s="192"/>
      <c r="AC702" s="192"/>
      <c r="AD702" s="192"/>
      <c r="AE702" s="192"/>
      <c r="AF702" s="192"/>
      <c r="AG702" s="192"/>
      <c r="AH702" s="192"/>
      <c r="AI702" s="192"/>
      <c r="AJ702" s="192"/>
      <c r="AK702" s="192"/>
      <c r="AL702" s="192"/>
      <c r="AM702" s="192"/>
      <c r="AN702" s="192"/>
      <c r="AO702" s="192"/>
      <c r="AP702" s="192"/>
      <c r="AQ702" s="192"/>
      <c r="AR702" s="192"/>
      <c r="AS702" s="192"/>
      <c r="AT702" s="192"/>
      <c r="AU702" s="192"/>
      <c r="AV702" s="192"/>
    </row>
    <row r="703">
      <c r="A703" s="192"/>
      <c r="B703" s="192"/>
      <c r="C703" s="192"/>
      <c r="D703" s="192"/>
      <c r="E703" s="192"/>
      <c r="F703" s="192"/>
      <c r="G703" s="192"/>
      <c r="H703" s="192"/>
      <c r="I703" s="192"/>
      <c r="J703" s="192"/>
      <c r="K703" s="192"/>
      <c r="L703" s="192"/>
      <c r="M703" s="192"/>
      <c r="N703" s="192"/>
      <c r="O703" s="192"/>
      <c r="P703" s="192"/>
      <c r="Q703" s="192"/>
      <c r="R703" s="192"/>
      <c r="S703" s="192"/>
      <c r="T703" s="192"/>
      <c r="U703" s="192"/>
      <c r="V703" s="192"/>
      <c r="W703" s="192"/>
      <c r="X703" s="192"/>
      <c r="Y703" s="192"/>
      <c r="Z703" s="192"/>
      <c r="AA703" s="192"/>
      <c r="AB703" s="192"/>
      <c r="AC703" s="192"/>
      <c r="AD703" s="192"/>
      <c r="AE703" s="192"/>
      <c r="AF703" s="192"/>
      <c r="AG703" s="192"/>
      <c r="AH703" s="192"/>
      <c r="AI703" s="192"/>
      <c r="AJ703" s="192"/>
      <c r="AK703" s="192"/>
      <c r="AL703" s="192"/>
      <c r="AM703" s="192"/>
      <c r="AN703" s="192"/>
      <c r="AO703" s="192"/>
      <c r="AP703" s="192"/>
      <c r="AQ703" s="192"/>
      <c r="AR703" s="192"/>
      <c r="AS703" s="192"/>
      <c r="AT703" s="192"/>
      <c r="AU703" s="192"/>
      <c r="AV703" s="192"/>
    </row>
    <row r="704">
      <c r="A704" s="192"/>
      <c r="B704" s="192"/>
      <c r="C704" s="192"/>
      <c r="D704" s="192"/>
      <c r="E704" s="192"/>
      <c r="F704" s="192"/>
      <c r="G704" s="192"/>
      <c r="H704" s="192"/>
      <c r="I704" s="192"/>
      <c r="J704" s="192"/>
      <c r="K704" s="192"/>
      <c r="L704" s="192"/>
      <c r="M704" s="192"/>
      <c r="N704" s="192"/>
      <c r="O704" s="192"/>
      <c r="P704" s="192"/>
      <c r="Q704" s="192"/>
      <c r="R704" s="192"/>
      <c r="S704" s="192"/>
      <c r="T704" s="192"/>
      <c r="U704" s="192"/>
      <c r="V704" s="192"/>
      <c r="W704" s="192"/>
      <c r="X704" s="192"/>
      <c r="Y704" s="192"/>
      <c r="Z704" s="192"/>
      <c r="AA704" s="192"/>
      <c r="AB704" s="192"/>
      <c r="AC704" s="192"/>
      <c r="AD704" s="192"/>
      <c r="AE704" s="192"/>
      <c r="AF704" s="192"/>
      <c r="AG704" s="192"/>
      <c r="AH704" s="192"/>
      <c r="AI704" s="192"/>
      <c r="AJ704" s="192"/>
      <c r="AK704" s="192"/>
      <c r="AL704" s="192"/>
      <c r="AM704" s="192"/>
      <c r="AN704" s="192"/>
      <c r="AO704" s="192"/>
      <c r="AP704" s="192"/>
      <c r="AQ704" s="192"/>
      <c r="AR704" s="192"/>
      <c r="AS704" s="192"/>
      <c r="AT704" s="192"/>
      <c r="AU704" s="192"/>
      <c r="AV704" s="192"/>
    </row>
    <row r="705">
      <c r="A705" s="192"/>
      <c r="B705" s="192"/>
      <c r="C705" s="192"/>
      <c r="D705" s="192"/>
      <c r="E705" s="192"/>
      <c r="F705" s="192"/>
      <c r="G705" s="192"/>
      <c r="H705" s="192"/>
      <c r="I705" s="192"/>
      <c r="J705" s="192"/>
      <c r="K705" s="192"/>
      <c r="L705" s="192"/>
      <c r="M705" s="192"/>
      <c r="N705" s="192"/>
      <c r="O705" s="192"/>
      <c r="P705" s="192"/>
      <c r="Q705" s="192"/>
      <c r="R705" s="192"/>
      <c r="S705" s="192"/>
      <c r="T705" s="192"/>
      <c r="U705" s="192"/>
      <c r="V705" s="192"/>
      <c r="W705" s="192"/>
      <c r="X705" s="192"/>
      <c r="Y705" s="192"/>
      <c r="Z705" s="192"/>
      <c r="AA705" s="192"/>
      <c r="AB705" s="192"/>
      <c r="AC705" s="192"/>
      <c r="AD705" s="192"/>
      <c r="AE705" s="192"/>
      <c r="AF705" s="192"/>
      <c r="AG705" s="192"/>
      <c r="AH705" s="192"/>
      <c r="AI705" s="192"/>
      <c r="AJ705" s="192"/>
      <c r="AK705" s="192"/>
      <c r="AL705" s="192"/>
      <c r="AM705" s="192"/>
      <c r="AN705" s="192"/>
      <c r="AO705" s="192"/>
      <c r="AP705" s="192"/>
      <c r="AQ705" s="192"/>
      <c r="AR705" s="192"/>
      <c r="AS705" s="192"/>
      <c r="AT705" s="192"/>
      <c r="AU705" s="192"/>
      <c r="AV705" s="192"/>
    </row>
    <row r="706">
      <c r="A706" s="192"/>
      <c r="B706" s="192"/>
      <c r="C706" s="192"/>
      <c r="D706" s="192"/>
      <c r="E706" s="192"/>
      <c r="F706" s="192"/>
      <c r="G706" s="192"/>
      <c r="H706" s="192"/>
      <c r="I706" s="192"/>
      <c r="J706" s="192"/>
      <c r="K706" s="192"/>
      <c r="L706" s="192"/>
      <c r="M706" s="192"/>
      <c r="N706" s="192"/>
      <c r="O706" s="192"/>
      <c r="P706" s="192"/>
      <c r="Q706" s="192"/>
      <c r="R706" s="192"/>
      <c r="S706" s="192"/>
      <c r="T706" s="192"/>
      <c r="U706" s="192"/>
      <c r="V706" s="192"/>
      <c r="W706" s="192"/>
      <c r="X706" s="192"/>
      <c r="Y706" s="192"/>
      <c r="Z706" s="192"/>
      <c r="AA706" s="192"/>
      <c r="AB706" s="192"/>
      <c r="AC706" s="192"/>
      <c r="AD706" s="192"/>
      <c r="AE706" s="192"/>
      <c r="AF706" s="192"/>
      <c r="AG706" s="192"/>
      <c r="AH706" s="192"/>
      <c r="AI706" s="192"/>
      <c r="AJ706" s="192"/>
      <c r="AK706" s="192"/>
      <c r="AL706" s="192"/>
      <c r="AM706" s="192"/>
      <c r="AN706" s="192"/>
      <c r="AO706" s="192"/>
      <c r="AP706" s="192"/>
      <c r="AQ706" s="192"/>
      <c r="AR706" s="192"/>
      <c r="AS706" s="192"/>
      <c r="AT706" s="192"/>
      <c r="AU706" s="192"/>
      <c r="AV706" s="192"/>
    </row>
    <row r="707">
      <c r="A707" s="192"/>
      <c r="B707" s="192"/>
      <c r="C707" s="192"/>
      <c r="D707" s="192"/>
      <c r="E707" s="192"/>
      <c r="F707" s="192"/>
      <c r="G707" s="192"/>
      <c r="H707" s="192"/>
      <c r="I707" s="192"/>
      <c r="J707" s="192"/>
      <c r="K707" s="192"/>
      <c r="L707" s="192"/>
      <c r="M707" s="192"/>
      <c r="N707" s="192"/>
      <c r="O707" s="192"/>
      <c r="P707" s="192"/>
      <c r="Q707" s="192"/>
      <c r="R707" s="192"/>
      <c r="S707" s="192"/>
      <c r="T707" s="192"/>
      <c r="U707" s="192"/>
      <c r="V707" s="192"/>
      <c r="W707" s="192"/>
      <c r="X707" s="192"/>
      <c r="Y707" s="192"/>
      <c r="Z707" s="192"/>
      <c r="AA707" s="192"/>
      <c r="AB707" s="192"/>
      <c r="AC707" s="192"/>
      <c r="AD707" s="192"/>
      <c r="AE707" s="192"/>
      <c r="AF707" s="192"/>
      <c r="AG707" s="192"/>
      <c r="AH707" s="192"/>
      <c r="AI707" s="192"/>
      <c r="AJ707" s="192"/>
      <c r="AK707" s="192"/>
      <c r="AL707" s="192"/>
      <c r="AM707" s="192"/>
      <c r="AN707" s="192"/>
      <c r="AO707" s="192"/>
      <c r="AP707" s="192"/>
      <c r="AQ707" s="192"/>
      <c r="AR707" s="192"/>
      <c r="AS707" s="192"/>
      <c r="AT707" s="192"/>
      <c r="AU707" s="192"/>
      <c r="AV707" s="192"/>
    </row>
    <row r="708">
      <c r="A708" s="192"/>
      <c r="B708" s="192"/>
      <c r="C708" s="192"/>
      <c r="D708" s="192"/>
      <c r="E708" s="192"/>
      <c r="F708" s="192"/>
      <c r="G708" s="192"/>
      <c r="H708" s="192"/>
      <c r="I708" s="192"/>
      <c r="J708" s="192"/>
      <c r="K708" s="192"/>
      <c r="L708" s="192"/>
      <c r="M708" s="192"/>
      <c r="N708" s="192"/>
      <c r="O708" s="192"/>
      <c r="P708" s="192"/>
      <c r="Q708" s="192"/>
      <c r="R708" s="192"/>
      <c r="S708" s="192"/>
      <c r="T708" s="192"/>
      <c r="U708" s="192"/>
      <c r="V708" s="192"/>
      <c r="W708" s="192"/>
      <c r="X708" s="192"/>
      <c r="Y708" s="192"/>
      <c r="Z708" s="192"/>
      <c r="AA708" s="192"/>
      <c r="AB708" s="192"/>
      <c r="AC708" s="192"/>
      <c r="AD708" s="192"/>
      <c r="AE708" s="192"/>
      <c r="AF708" s="192"/>
      <c r="AG708" s="192"/>
      <c r="AH708" s="192"/>
      <c r="AI708" s="192"/>
      <c r="AJ708" s="192"/>
      <c r="AK708" s="192"/>
      <c r="AL708" s="192"/>
      <c r="AM708" s="192"/>
      <c r="AN708" s="192"/>
      <c r="AO708" s="192"/>
      <c r="AP708" s="192"/>
      <c r="AQ708" s="192"/>
      <c r="AR708" s="192"/>
      <c r="AS708" s="192"/>
      <c r="AT708" s="192"/>
      <c r="AU708" s="192"/>
      <c r="AV708" s="192"/>
    </row>
    <row r="709">
      <c r="A709" s="192"/>
      <c r="B709" s="192"/>
      <c r="C709" s="192"/>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2"/>
      <c r="AA709" s="192"/>
      <c r="AB709" s="192"/>
      <c r="AC709" s="192"/>
      <c r="AD709" s="192"/>
      <c r="AE709" s="192"/>
      <c r="AF709" s="192"/>
      <c r="AG709" s="192"/>
      <c r="AH709" s="192"/>
      <c r="AI709" s="192"/>
      <c r="AJ709" s="192"/>
      <c r="AK709" s="192"/>
      <c r="AL709" s="192"/>
      <c r="AM709" s="192"/>
      <c r="AN709" s="192"/>
      <c r="AO709" s="192"/>
      <c r="AP709" s="192"/>
      <c r="AQ709" s="192"/>
      <c r="AR709" s="192"/>
      <c r="AS709" s="192"/>
      <c r="AT709" s="192"/>
      <c r="AU709" s="192"/>
      <c r="AV709" s="192"/>
    </row>
    <row r="710">
      <c r="A710" s="192"/>
      <c r="B710" s="192"/>
      <c r="C710" s="192"/>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2"/>
      <c r="AA710" s="192"/>
      <c r="AB710" s="192"/>
      <c r="AC710" s="192"/>
      <c r="AD710" s="192"/>
      <c r="AE710" s="192"/>
      <c r="AF710" s="192"/>
      <c r="AG710" s="192"/>
      <c r="AH710" s="192"/>
      <c r="AI710" s="192"/>
      <c r="AJ710" s="192"/>
      <c r="AK710" s="192"/>
      <c r="AL710" s="192"/>
      <c r="AM710" s="192"/>
      <c r="AN710" s="192"/>
      <c r="AO710" s="192"/>
      <c r="AP710" s="192"/>
      <c r="AQ710" s="192"/>
      <c r="AR710" s="192"/>
      <c r="AS710" s="192"/>
      <c r="AT710" s="192"/>
      <c r="AU710" s="192"/>
      <c r="AV710" s="192"/>
    </row>
    <row r="711">
      <c r="A711" s="192"/>
      <c r="B711" s="192"/>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c r="AA711" s="192"/>
      <c r="AB711" s="192"/>
      <c r="AC711" s="192"/>
      <c r="AD711" s="192"/>
      <c r="AE711" s="192"/>
      <c r="AF711" s="192"/>
      <c r="AG711" s="192"/>
      <c r="AH711" s="192"/>
      <c r="AI711" s="192"/>
      <c r="AJ711" s="192"/>
      <c r="AK711" s="192"/>
      <c r="AL711" s="192"/>
      <c r="AM711" s="192"/>
      <c r="AN711" s="192"/>
      <c r="AO711" s="192"/>
      <c r="AP711" s="192"/>
      <c r="AQ711" s="192"/>
      <c r="AR711" s="192"/>
      <c r="AS711" s="192"/>
      <c r="AT711" s="192"/>
      <c r="AU711" s="192"/>
      <c r="AV711" s="192"/>
    </row>
    <row r="712">
      <c r="A712" s="192"/>
      <c r="B712" s="192"/>
      <c r="C712" s="192"/>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c r="AA712" s="192"/>
      <c r="AB712" s="192"/>
      <c r="AC712" s="192"/>
      <c r="AD712" s="192"/>
      <c r="AE712" s="192"/>
      <c r="AF712" s="192"/>
      <c r="AG712" s="192"/>
      <c r="AH712" s="192"/>
      <c r="AI712" s="192"/>
      <c r="AJ712" s="192"/>
      <c r="AK712" s="192"/>
      <c r="AL712" s="192"/>
      <c r="AM712" s="192"/>
      <c r="AN712" s="192"/>
      <c r="AO712" s="192"/>
      <c r="AP712" s="192"/>
      <c r="AQ712" s="192"/>
      <c r="AR712" s="192"/>
      <c r="AS712" s="192"/>
      <c r="AT712" s="192"/>
      <c r="AU712" s="192"/>
      <c r="AV712" s="192"/>
    </row>
    <row r="713">
      <c r="A713" s="192"/>
      <c r="B713" s="192"/>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2"/>
      <c r="AD713" s="192"/>
      <c r="AE713" s="192"/>
      <c r="AF713" s="192"/>
      <c r="AG713" s="192"/>
      <c r="AH713" s="192"/>
      <c r="AI713" s="192"/>
      <c r="AJ713" s="192"/>
      <c r="AK713" s="192"/>
      <c r="AL713" s="192"/>
      <c r="AM713" s="192"/>
      <c r="AN713" s="192"/>
      <c r="AO713" s="192"/>
      <c r="AP713" s="192"/>
      <c r="AQ713" s="192"/>
      <c r="AR713" s="192"/>
      <c r="AS713" s="192"/>
      <c r="AT713" s="192"/>
      <c r="AU713" s="192"/>
      <c r="AV713" s="192"/>
    </row>
    <row r="714">
      <c r="A714" s="192"/>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c r="AA714" s="192"/>
      <c r="AB714" s="192"/>
      <c r="AC714" s="192"/>
      <c r="AD714" s="192"/>
      <c r="AE714" s="192"/>
      <c r="AF714" s="192"/>
      <c r="AG714" s="192"/>
      <c r="AH714" s="192"/>
      <c r="AI714" s="192"/>
      <c r="AJ714" s="192"/>
      <c r="AK714" s="192"/>
      <c r="AL714" s="192"/>
      <c r="AM714" s="192"/>
      <c r="AN714" s="192"/>
      <c r="AO714" s="192"/>
      <c r="AP714" s="192"/>
      <c r="AQ714" s="192"/>
      <c r="AR714" s="192"/>
      <c r="AS714" s="192"/>
      <c r="AT714" s="192"/>
      <c r="AU714" s="192"/>
      <c r="AV714" s="192"/>
    </row>
    <row r="715">
      <c r="A715" s="192"/>
      <c r="B715" s="192"/>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c r="AA715" s="192"/>
      <c r="AB715" s="192"/>
      <c r="AC715" s="192"/>
      <c r="AD715" s="192"/>
      <c r="AE715" s="192"/>
      <c r="AF715" s="192"/>
      <c r="AG715" s="192"/>
      <c r="AH715" s="192"/>
      <c r="AI715" s="192"/>
      <c r="AJ715" s="192"/>
      <c r="AK715" s="192"/>
      <c r="AL715" s="192"/>
      <c r="AM715" s="192"/>
      <c r="AN715" s="192"/>
      <c r="AO715" s="192"/>
      <c r="AP715" s="192"/>
      <c r="AQ715" s="192"/>
      <c r="AR715" s="192"/>
      <c r="AS715" s="192"/>
      <c r="AT715" s="192"/>
      <c r="AU715" s="192"/>
      <c r="AV715" s="192"/>
    </row>
    <row r="716">
      <c r="A716" s="192"/>
      <c r="B716" s="192"/>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c r="AA716" s="192"/>
      <c r="AB716" s="192"/>
      <c r="AC716" s="192"/>
      <c r="AD716" s="192"/>
      <c r="AE716" s="192"/>
      <c r="AF716" s="192"/>
      <c r="AG716" s="192"/>
      <c r="AH716" s="192"/>
      <c r="AI716" s="192"/>
      <c r="AJ716" s="192"/>
      <c r="AK716" s="192"/>
      <c r="AL716" s="192"/>
      <c r="AM716" s="192"/>
      <c r="AN716" s="192"/>
      <c r="AO716" s="192"/>
      <c r="AP716" s="192"/>
      <c r="AQ716" s="192"/>
      <c r="AR716" s="192"/>
      <c r="AS716" s="192"/>
      <c r="AT716" s="192"/>
      <c r="AU716" s="192"/>
      <c r="AV716" s="192"/>
    </row>
    <row r="717">
      <c r="A717" s="192"/>
      <c r="B717" s="192"/>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c r="AA717" s="192"/>
      <c r="AB717" s="192"/>
      <c r="AC717" s="192"/>
      <c r="AD717" s="192"/>
      <c r="AE717" s="192"/>
      <c r="AF717" s="192"/>
      <c r="AG717" s="192"/>
      <c r="AH717" s="192"/>
      <c r="AI717" s="192"/>
      <c r="AJ717" s="192"/>
      <c r="AK717" s="192"/>
      <c r="AL717" s="192"/>
      <c r="AM717" s="192"/>
      <c r="AN717" s="192"/>
      <c r="AO717" s="192"/>
      <c r="AP717" s="192"/>
      <c r="AQ717" s="192"/>
      <c r="AR717" s="192"/>
      <c r="AS717" s="192"/>
      <c r="AT717" s="192"/>
      <c r="AU717" s="192"/>
      <c r="AV717" s="192"/>
    </row>
    <row r="718">
      <c r="A718" s="192"/>
      <c r="B718" s="192"/>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c r="AA718" s="192"/>
      <c r="AB718" s="192"/>
      <c r="AC718" s="192"/>
      <c r="AD718" s="192"/>
      <c r="AE718" s="192"/>
      <c r="AF718" s="192"/>
      <c r="AG718" s="192"/>
      <c r="AH718" s="192"/>
      <c r="AI718" s="192"/>
      <c r="AJ718" s="192"/>
      <c r="AK718" s="192"/>
      <c r="AL718" s="192"/>
      <c r="AM718" s="192"/>
      <c r="AN718" s="192"/>
      <c r="AO718" s="192"/>
      <c r="AP718" s="192"/>
      <c r="AQ718" s="192"/>
      <c r="AR718" s="192"/>
      <c r="AS718" s="192"/>
      <c r="AT718" s="192"/>
      <c r="AU718" s="192"/>
      <c r="AV718" s="192"/>
    </row>
    <row r="719">
      <c r="A719" s="192"/>
      <c r="B719" s="192"/>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c r="AA719" s="192"/>
      <c r="AB719" s="192"/>
      <c r="AC719" s="192"/>
      <c r="AD719" s="192"/>
      <c r="AE719" s="192"/>
      <c r="AF719" s="192"/>
      <c r="AG719" s="192"/>
      <c r="AH719" s="192"/>
      <c r="AI719" s="192"/>
      <c r="AJ719" s="192"/>
      <c r="AK719" s="192"/>
      <c r="AL719" s="192"/>
      <c r="AM719" s="192"/>
      <c r="AN719" s="192"/>
      <c r="AO719" s="192"/>
      <c r="AP719" s="192"/>
      <c r="AQ719" s="192"/>
      <c r="AR719" s="192"/>
      <c r="AS719" s="192"/>
      <c r="AT719" s="192"/>
      <c r="AU719" s="192"/>
      <c r="AV719" s="192"/>
    </row>
    <row r="720">
      <c r="A720" s="192"/>
      <c r="B720" s="192"/>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c r="AA720" s="192"/>
      <c r="AB720" s="192"/>
      <c r="AC720" s="192"/>
      <c r="AD720" s="192"/>
      <c r="AE720" s="192"/>
      <c r="AF720" s="192"/>
      <c r="AG720" s="192"/>
      <c r="AH720" s="192"/>
      <c r="AI720" s="192"/>
      <c r="AJ720" s="192"/>
      <c r="AK720" s="192"/>
      <c r="AL720" s="192"/>
      <c r="AM720" s="192"/>
      <c r="AN720" s="192"/>
      <c r="AO720" s="192"/>
      <c r="AP720" s="192"/>
      <c r="AQ720" s="192"/>
      <c r="AR720" s="192"/>
      <c r="AS720" s="192"/>
      <c r="AT720" s="192"/>
      <c r="AU720" s="192"/>
      <c r="AV720" s="192"/>
    </row>
    <row r="721">
      <c r="A721" s="192"/>
      <c r="B721" s="192"/>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c r="AA721" s="192"/>
      <c r="AB721" s="192"/>
      <c r="AC721" s="192"/>
      <c r="AD721" s="192"/>
      <c r="AE721" s="192"/>
      <c r="AF721" s="192"/>
      <c r="AG721" s="192"/>
      <c r="AH721" s="192"/>
      <c r="AI721" s="192"/>
      <c r="AJ721" s="192"/>
      <c r="AK721" s="192"/>
      <c r="AL721" s="192"/>
      <c r="AM721" s="192"/>
      <c r="AN721" s="192"/>
      <c r="AO721" s="192"/>
      <c r="AP721" s="192"/>
      <c r="AQ721" s="192"/>
      <c r="AR721" s="192"/>
      <c r="AS721" s="192"/>
      <c r="AT721" s="192"/>
      <c r="AU721" s="192"/>
      <c r="AV721" s="192"/>
    </row>
    <row r="722">
      <c r="A722" s="192"/>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2"/>
      <c r="AA722" s="192"/>
      <c r="AB722" s="192"/>
      <c r="AC722" s="192"/>
      <c r="AD722" s="192"/>
      <c r="AE722" s="192"/>
      <c r="AF722" s="192"/>
      <c r="AG722" s="192"/>
      <c r="AH722" s="192"/>
      <c r="AI722" s="192"/>
      <c r="AJ722" s="192"/>
      <c r="AK722" s="192"/>
      <c r="AL722" s="192"/>
      <c r="AM722" s="192"/>
      <c r="AN722" s="192"/>
      <c r="AO722" s="192"/>
      <c r="AP722" s="192"/>
      <c r="AQ722" s="192"/>
      <c r="AR722" s="192"/>
      <c r="AS722" s="192"/>
      <c r="AT722" s="192"/>
      <c r="AU722" s="192"/>
      <c r="AV722" s="192"/>
    </row>
    <row r="723">
      <c r="A723" s="192"/>
      <c r="B723" s="192"/>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2"/>
      <c r="AA723" s="192"/>
      <c r="AB723" s="192"/>
      <c r="AC723" s="192"/>
      <c r="AD723" s="192"/>
      <c r="AE723" s="192"/>
      <c r="AF723" s="192"/>
      <c r="AG723" s="192"/>
      <c r="AH723" s="192"/>
      <c r="AI723" s="192"/>
      <c r="AJ723" s="192"/>
      <c r="AK723" s="192"/>
      <c r="AL723" s="192"/>
      <c r="AM723" s="192"/>
      <c r="AN723" s="192"/>
      <c r="AO723" s="192"/>
      <c r="AP723" s="192"/>
      <c r="AQ723" s="192"/>
      <c r="AR723" s="192"/>
      <c r="AS723" s="192"/>
      <c r="AT723" s="192"/>
      <c r="AU723" s="192"/>
      <c r="AV723" s="192"/>
    </row>
    <row r="724">
      <c r="A724" s="192"/>
      <c r="B724" s="192"/>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2"/>
      <c r="AA724" s="192"/>
      <c r="AB724" s="192"/>
      <c r="AC724" s="192"/>
      <c r="AD724" s="192"/>
      <c r="AE724" s="192"/>
      <c r="AF724" s="192"/>
      <c r="AG724" s="192"/>
      <c r="AH724" s="192"/>
      <c r="AI724" s="192"/>
      <c r="AJ724" s="192"/>
      <c r="AK724" s="192"/>
      <c r="AL724" s="192"/>
      <c r="AM724" s="192"/>
      <c r="AN724" s="192"/>
      <c r="AO724" s="192"/>
      <c r="AP724" s="192"/>
      <c r="AQ724" s="192"/>
      <c r="AR724" s="192"/>
      <c r="AS724" s="192"/>
      <c r="AT724" s="192"/>
      <c r="AU724" s="192"/>
      <c r="AV724" s="192"/>
    </row>
    <row r="725">
      <c r="A725" s="192"/>
      <c r="B725" s="192"/>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c r="AA725" s="192"/>
      <c r="AB725" s="192"/>
      <c r="AC725" s="192"/>
      <c r="AD725" s="192"/>
      <c r="AE725" s="192"/>
      <c r="AF725" s="192"/>
      <c r="AG725" s="192"/>
      <c r="AH725" s="192"/>
      <c r="AI725" s="192"/>
      <c r="AJ725" s="192"/>
      <c r="AK725" s="192"/>
      <c r="AL725" s="192"/>
      <c r="AM725" s="192"/>
      <c r="AN725" s="192"/>
      <c r="AO725" s="192"/>
      <c r="AP725" s="192"/>
      <c r="AQ725" s="192"/>
      <c r="AR725" s="192"/>
      <c r="AS725" s="192"/>
      <c r="AT725" s="192"/>
      <c r="AU725" s="192"/>
      <c r="AV725" s="192"/>
    </row>
    <row r="726">
      <c r="A726" s="192"/>
      <c r="B726" s="192"/>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c r="AA726" s="192"/>
      <c r="AB726" s="192"/>
      <c r="AC726" s="192"/>
      <c r="AD726" s="192"/>
      <c r="AE726" s="192"/>
      <c r="AF726" s="192"/>
      <c r="AG726" s="192"/>
      <c r="AH726" s="192"/>
      <c r="AI726" s="192"/>
      <c r="AJ726" s="192"/>
      <c r="AK726" s="192"/>
      <c r="AL726" s="192"/>
      <c r="AM726" s="192"/>
      <c r="AN726" s="192"/>
      <c r="AO726" s="192"/>
      <c r="AP726" s="192"/>
      <c r="AQ726" s="192"/>
      <c r="AR726" s="192"/>
      <c r="AS726" s="192"/>
      <c r="AT726" s="192"/>
      <c r="AU726" s="192"/>
      <c r="AV726" s="192"/>
    </row>
    <row r="727">
      <c r="A727" s="192"/>
      <c r="B727" s="192"/>
      <c r="C727" s="192"/>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c r="AA727" s="192"/>
      <c r="AB727" s="192"/>
      <c r="AC727" s="192"/>
      <c r="AD727" s="192"/>
      <c r="AE727" s="192"/>
      <c r="AF727" s="192"/>
      <c r="AG727" s="192"/>
      <c r="AH727" s="192"/>
      <c r="AI727" s="192"/>
      <c r="AJ727" s="192"/>
      <c r="AK727" s="192"/>
      <c r="AL727" s="192"/>
      <c r="AM727" s="192"/>
      <c r="AN727" s="192"/>
      <c r="AO727" s="192"/>
      <c r="AP727" s="192"/>
      <c r="AQ727" s="192"/>
      <c r="AR727" s="192"/>
      <c r="AS727" s="192"/>
      <c r="AT727" s="192"/>
      <c r="AU727" s="192"/>
      <c r="AV727" s="192"/>
    </row>
    <row r="728">
      <c r="A728" s="192"/>
      <c r="B728" s="192"/>
      <c r="C728" s="192"/>
      <c r="D728" s="192"/>
      <c r="E728" s="192"/>
      <c r="F728" s="192"/>
      <c r="G728" s="192"/>
      <c r="H728" s="192"/>
      <c r="I728" s="192"/>
      <c r="J728" s="192"/>
      <c r="K728" s="192"/>
      <c r="L728" s="192"/>
      <c r="M728" s="192"/>
      <c r="N728" s="192"/>
      <c r="O728" s="192"/>
      <c r="P728" s="192"/>
      <c r="Q728" s="192"/>
      <c r="R728" s="192"/>
      <c r="S728" s="192"/>
      <c r="T728" s="192"/>
      <c r="U728" s="192"/>
      <c r="V728" s="192"/>
      <c r="W728" s="192"/>
      <c r="X728" s="192"/>
      <c r="Y728" s="192"/>
      <c r="Z728" s="192"/>
      <c r="AA728" s="192"/>
      <c r="AB728" s="192"/>
      <c r="AC728" s="192"/>
      <c r="AD728" s="192"/>
      <c r="AE728" s="192"/>
      <c r="AF728" s="192"/>
      <c r="AG728" s="192"/>
      <c r="AH728" s="192"/>
      <c r="AI728" s="192"/>
      <c r="AJ728" s="192"/>
      <c r="AK728" s="192"/>
      <c r="AL728" s="192"/>
      <c r="AM728" s="192"/>
      <c r="AN728" s="192"/>
      <c r="AO728" s="192"/>
      <c r="AP728" s="192"/>
      <c r="AQ728" s="192"/>
      <c r="AR728" s="192"/>
      <c r="AS728" s="192"/>
      <c r="AT728" s="192"/>
      <c r="AU728" s="192"/>
      <c r="AV728" s="192"/>
    </row>
    <row r="729">
      <c r="A729" s="192"/>
      <c r="B729" s="192"/>
      <c r="C729" s="192"/>
      <c r="D729" s="192"/>
      <c r="E729" s="192"/>
      <c r="F729" s="192"/>
      <c r="G729" s="192"/>
      <c r="H729" s="192"/>
      <c r="I729" s="192"/>
      <c r="J729" s="192"/>
      <c r="K729" s="192"/>
      <c r="L729" s="192"/>
      <c r="M729" s="192"/>
      <c r="N729" s="192"/>
      <c r="O729" s="192"/>
      <c r="P729" s="192"/>
      <c r="Q729" s="192"/>
      <c r="R729" s="192"/>
      <c r="S729" s="192"/>
      <c r="T729" s="192"/>
      <c r="U729" s="192"/>
      <c r="V729" s="192"/>
      <c r="W729" s="192"/>
      <c r="X729" s="192"/>
      <c r="Y729" s="192"/>
      <c r="Z729" s="192"/>
      <c r="AA729" s="192"/>
      <c r="AB729" s="192"/>
      <c r="AC729" s="192"/>
      <c r="AD729" s="192"/>
      <c r="AE729" s="192"/>
      <c r="AF729" s="192"/>
      <c r="AG729" s="192"/>
      <c r="AH729" s="192"/>
      <c r="AI729" s="192"/>
      <c r="AJ729" s="192"/>
      <c r="AK729" s="192"/>
      <c r="AL729" s="192"/>
      <c r="AM729" s="192"/>
      <c r="AN729" s="192"/>
      <c r="AO729" s="192"/>
      <c r="AP729" s="192"/>
      <c r="AQ729" s="192"/>
      <c r="AR729" s="192"/>
      <c r="AS729" s="192"/>
      <c r="AT729" s="192"/>
      <c r="AU729" s="192"/>
      <c r="AV729" s="192"/>
    </row>
    <row r="730">
      <c r="A730" s="192"/>
      <c r="B730" s="192"/>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c r="AA730" s="192"/>
      <c r="AB730" s="192"/>
      <c r="AC730" s="192"/>
      <c r="AD730" s="192"/>
      <c r="AE730" s="192"/>
      <c r="AF730" s="192"/>
      <c r="AG730" s="192"/>
      <c r="AH730" s="192"/>
      <c r="AI730" s="192"/>
      <c r="AJ730" s="192"/>
      <c r="AK730" s="192"/>
      <c r="AL730" s="192"/>
      <c r="AM730" s="192"/>
      <c r="AN730" s="192"/>
      <c r="AO730" s="192"/>
      <c r="AP730" s="192"/>
      <c r="AQ730" s="192"/>
      <c r="AR730" s="192"/>
      <c r="AS730" s="192"/>
      <c r="AT730" s="192"/>
      <c r="AU730" s="192"/>
      <c r="AV730" s="192"/>
    </row>
    <row r="731">
      <c r="A731" s="192"/>
      <c r="B731" s="192"/>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c r="AA731" s="192"/>
      <c r="AB731" s="192"/>
      <c r="AC731" s="192"/>
      <c r="AD731" s="192"/>
      <c r="AE731" s="192"/>
      <c r="AF731" s="192"/>
      <c r="AG731" s="192"/>
      <c r="AH731" s="192"/>
      <c r="AI731" s="192"/>
      <c r="AJ731" s="192"/>
      <c r="AK731" s="192"/>
      <c r="AL731" s="192"/>
      <c r="AM731" s="192"/>
      <c r="AN731" s="192"/>
      <c r="AO731" s="192"/>
      <c r="AP731" s="192"/>
      <c r="AQ731" s="192"/>
      <c r="AR731" s="192"/>
      <c r="AS731" s="192"/>
      <c r="AT731" s="192"/>
      <c r="AU731" s="192"/>
      <c r="AV731" s="192"/>
    </row>
    <row r="732">
      <c r="A732" s="192"/>
      <c r="B732" s="192"/>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c r="AA732" s="192"/>
      <c r="AB732" s="192"/>
      <c r="AC732" s="192"/>
      <c r="AD732" s="192"/>
      <c r="AE732" s="192"/>
      <c r="AF732" s="192"/>
      <c r="AG732" s="192"/>
      <c r="AH732" s="192"/>
      <c r="AI732" s="192"/>
      <c r="AJ732" s="192"/>
      <c r="AK732" s="192"/>
      <c r="AL732" s="192"/>
      <c r="AM732" s="192"/>
      <c r="AN732" s="192"/>
      <c r="AO732" s="192"/>
      <c r="AP732" s="192"/>
      <c r="AQ732" s="192"/>
      <c r="AR732" s="192"/>
      <c r="AS732" s="192"/>
      <c r="AT732" s="192"/>
      <c r="AU732" s="192"/>
      <c r="AV732" s="192"/>
    </row>
    <row r="733">
      <c r="A733" s="192"/>
      <c r="B733" s="192"/>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c r="AA733" s="192"/>
      <c r="AB733" s="192"/>
      <c r="AC733" s="192"/>
      <c r="AD733" s="192"/>
      <c r="AE733" s="192"/>
      <c r="AF733" s="192"/>
      <c r="AG733" s="192"/>
      <c r="AH733" s="192"/>
      <c r="AI733" s="192"/>
      <c r="AJ733" s="192"/>
      <c r="AK733" s="192"/>
      <c r="AL733" s="192"/>
      <c r="AM733" s="192"/>
      <c r="AN733" s="192"/>
      <c r="AO733" s="192"/>
      <c r="AP733" s="192"/>
      <c r="AQ733" s="192"/>
      <c r="AR733" s="192"/>
      <c r="AS733" s="192"/>
      <c r="AT733" s="192"/>
      <c r="AU733" s="192"/>
      <c r="AV733" s="192"/>
    </row>
    <row r="734">
      <c r="A734" s="192"/>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c r="AA734" s="192"/>
      <c r="AB734" s="192"/>
      <c r="AC734" s="192"/>
      <c r="AD734" s="192"/>
      <c r="AE734" s="192"/>
      <c r="AF734" s="192"/>
      <c r="AG734" s="192"/>
      <c r="AH734" s="192"/>
      <c r="AI734" s="192"/>
      <c r="AJ734" s="192"/>
      <c r="AK734" s="192"/>
      <c r="AL734" s="192"/>
      <c r="AM734" s="192"/>
      <c r="AN734" s="192"/>
      <c r="AO734" s="192"/>
      <c r="AP734" s="192"/>
      <c r="AQ734" s="192"/>
      <c r="AR734" s="192"/>
      <c r="AS734" s="192"/>
      <c r="AT734" s="192"/>
      <c r="AU734" s="192"/>
      <c r="AV734" s="192"/>
    </row>
    <row r="735">
      <c r="A735" s="192"/>
      <c r="B735" s="192"/>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c r="AA735" s="192"/>
      <c r="AB735" s="192"/>
      <c r="AC735" s="192"/>
      <c r="AD735" s="192"/>
      <c r="AE735" s="192"/>
      <c r="AF735" s="192"/>
      <c r="AG735" s="192"/>
      <c r="AH735" s="192"/>
      <c r="AI735" s="192"/>
      <c r="AJ735" s="192"/>
      <c r="AK735" s="192"/>
      <c r="AL735" s="192"/>
      <c r="AM735" s="192"/>
      <c r="AN735" s="192"/>
      <c r="AO735" s="192"/>
      <c r="AP735" s="192"/>
      <c r="AQ735" s="192"/>
      <c r="AR735" s="192"/>
      <c r="AS735" s="192"/>
      <c r="AT735" s="192"/>
      <c r="AU735" s="192"/>
      <c r="AV735" s="192"/>
    </row>
    <row r="736">
      <c r="A736" s="192"/>
      <c r="B736" s="192"/>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c r="AA736" s="192"/>
      <c r="AB736" s="192"/>
      <c r="AC736" s="192"/>
      <c r="AD736" s="192"/>
      <c r="AE736" s="192"/>
      <c r="AF736" s="192"/>
      <c r="AG736" s="192"/>
      <c r="AH736" s="192"/>
      <c r="AI736" s="192"/>
      <c r="AJ736" s="192"/>
      <c r="AK736" s="192"/>
      <c r="AL736" s="192"/>
      <c r="AM736" s="192"/>
      <c r="AN736" s="192"/>
      <c r="AO736" s="192"/>
      <c r="AP736" s="192"/>
      <c r="AQ736" s="192"/>
      <c r="AR736" s="192"/>
      <c r="AS736" s="192"/>
      <c r="AT736" s="192"/>
      <c r="AU736" s="192"/>
      <c r="AV736" s="192"/>
    </row>
    <row r="737">
      <c r="A737" s="192"/>
      <c r="B737" s="192"/>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c r="AA737" s="192"/>
      <c r="AB737" s="192"/>
      <c r="AC737" s="192"/>
      <c r="AD737" s="192"/>
      <c r="AE737" s="192"/>
      <c r="AF737" s="192"/>
      <c r="AG737" s="192"/>
      <c r="AH737" s="192"/>
      <c r="AI737" s="192"/>
      <c r="AJ737" s="192"/>
      <c r="AK737" s="192"/>
      <c r="AL737" s="192"/>
      <c r="AM737" s="192"/>
      <c r="AN737" s="192"/>
      <c r="AO737" s="192"/>
      <c r="AP737" s="192"/>
      <c r="AQ737" s="192"/>
      <c r="AR737" s="192"/>
      <c r="AS737" s="192"/>
      <c r="AT737" s="192"/>
      <c r="AU737" s="192"/>
      <c r="AV737" s="192"/>
    </row>
    <row r="738">
      <c r="A738" s="192"/>
      <c r="B738" s="192"/>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c r="AA738" s="192"/>
      <c r="AB738" s="192"/>
      <c r="AC738" s="192"/>
      <c r="AD738" s="192"/>
      <c r="AE738" s="192"/>
      <c r="AF738" s="192"/>
      <c r="AG738" s="192"/>
      <c r="AH738" s="192"/>
      <c r="AI738" s="192"/>
      <c r="AJ738" s="192"/>
      <c r="AK738" s="192"/>
      <c r="AL738" s="192"/>
      <c r="AM738" s="192"/>
      <c r="AN738" s="192"/>
      <c r="AO738" s="192"/>
      <c r="AP738" s="192"/>
      <c r="AQ738" s="192"/>
      <c r="AR738" s="192"/>
      <c r="AS738" s="192"/>
      <c r="AT738" s="192"/>
      <c r="AU738" s="192"/>
      <c r="AV738" s="192"/>
    </row>
    <row r="739">
      <c r="A739" s="192"/>
      <c r="B739" s="192"/>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c r="AA739" s="192"/>
      <c r="AB739" s="192"/>
      <c r="AC739" s="192"/>
      <c r="AD739" s="192"/>
      <c r="AE739" s="192"/>
      <c r="AF739" s="192"/>
      <c r="AG739" s="192"/>
      <c r="AH739" s="192"/>
      <c r="AI739" s="192"/>
      <c r="AJ739" s="192"/>
      <c r="AK739" s="192"/>
      <c r="AL739" s="192"/>
      <c r="AM739" s="192"/>
      <c r="AN739" s="192"/>
      <c r="AO739" s="192"/>
      <c r="AP739" s="192"/>
      <c r="AQ739" s="192"/>
      <c r="AR739" s="192"/>
      <c r="AS739" s="192"/>
      <c r="AT739" s="192"/>
      <c r="AU739" s="192"/>
      <c r="AV739" s="192"/>
    </row>
    <row r="740">
      <c r="A740" s="192"/>
      <c r="B740" s="192"/>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2"/>
      <c r="AA740" s="192"/>
      <c r="AB740" s="192"/>
      <c r="AC740" s="192"/>
      <c r="AD740" s="192"/>
      <c r="AE740" s="192"/>
      <c r="AF740" s="192"/>
      <c r="AG740" s="192"/>
      <c r="AH740" s="192"/>
      <c r="AI740" s="192"/>
      <c r="AJ740" s="192"/>
      <c r="AK740" s="192"/>
      <c r="AL740" s="192"/>
      <c r="AM740" s="192"/>
      <c r="AN740" s="192"/>
      <c r="AO740" s="192"/>
      <c r="AP740" s="192"/>
      <c r="AQ740" s="192"/>
      <c r="AR740" s="192"/>
      <c r="AS740" s="192"/>
      <c r="AT740" s="192"/>
      <c r="AU740" s="192"/>
      <c r="AV740" s="192"/>
    </row>
    <row r="741">
      <c r="A741" s="192"/>
      <c r="B741" s="192"/>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2"/>
      <c r="AA741" s="192"/>
      <c r="AB741" s="192"/>
      <c r="AC741" s="192"/>
      <c r="AD741" s="192"/>
      <c r="AE741" s="192"/>
      <c r="AF741" s="192"/>
      <c r="AG741" s="192"/>
      <c r="AH741" s="192"/>
      <c r="AI741" s="192"/>
      <c r="AJ741" s="192"/>
      <c r="AK741" s="192"/>
      <c r="AL741" s="192"/>
      <c r="AM741" s="192"/>
      <c r="AN741" s="192"/>
      <c r="AO741" s="192"/>
      <c r="AP741" s="192"/>
      <c r="AQ741" s="192"/>
      <c r="AR741" s="192"/>
      <c r="AS741" s="192"/>
      <c r="AT741" s="192"/>
      <c r="AU741" s="192"/>
      <c r="AV741" s="192"/>
    </row>
    <row r="742">
      <c r="A742" s="192"/>
      <c r="B742" s="192"/>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c r="AA742" s="192"/>
      <c r="AB742" s="192"/>
      <c r="AC742" s="192"/>
      <c r="AD742" s="192"/>
      <c r="AE742" s="192"/>
      <c r="AF742" s="192"/>
      <c r="AG742" s="192"/>
      <c r="AH742" s="192"/>
      <c r="AI742" s="192"/>
      <c r="AJ742" s="192"/>
      <c r="AK742" s="192"/>
      <c r="AL742" s="192"/>
      <c r="AM742" s="192"/>
      <c r="AN742" s="192"/>
      <c r="AO742" s="192"/>
      <c r="AP742" s="192"/>
      <c r="AQ742" s="192"/>
      <c r="AR742" s="192"/>
      <c r="AS742" s="192"/>
      <c r="AT742" s="192"/>
      <c r="AU742" s="192"/>
      <c r="AV742" s="192"/>
    </row>
    <row r="743">
      <c r="A743" s="192"/>
      <c r="B743" s="192"/>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c r="AA743" s="192"/>
      <c r="AB743" s="192"/>
      <c r="AC743" s="192"/>
      <c r="AD743" s="192"/>
      <c r="AE743" s="192"/>
      <c r="AF743" s="192"/>
      <c r="AG743" s="192"/>
      <c r="AH743" s="192"/>
      <c r="AI743" s="192"/>
      <c r="AJ743" s="192"/>
      <c r="AK743" s="192"/>
      <c r="AL743" s="192"/>
      <c r="AM743" s="192"/>
      <c r="AN743" s="192"/>
      <c r="AO743" s="192"/>
      <c r="AP743" s="192"/>
      <c r="AQ743" s="192"/>
      <c r="AR743" s="192"/>
      <c r="AS743" s="192"/>
      <c r="AT743" s="192"/>
      <c r="AU743" s="192"/>
      <c r="AV743" s="192"/>
    </row>
    <row r="744">
      <c r="A744" s="192"/>
      <c r="B744" s="192"/>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2"/>
      <c r="AA744" s="192"/>
      <c r="AB744" s="192"/>
      <c r="AC744" s="192"/>
      <c r="AD744" s="192"/>
      <c r="AE744" s="192"/>
      <c r="AF744" s="192"/>
      <c r="AG744" s="192"/>
      <c r="AH744" s="192"/>
      <c r="AI744" s="192"/>
      <c r="AJ744" s="192"/>
      <c r="AK744" s="192"/>
      <c r="AL744" s="192"/>
      <c r="AM744" s="192"/>
      <c r="AN744" s="192"/>
      <c r="AO744" s="192"/>
      <c r="AP744" s="192"/>
      <c r="AQ744" s="192"/>
      <c r="AR744" s="192"/>
      <c r="AS744" s="192"/>
      <c r="AT744" s="192"/>
      <c r="AU744" s="192"/>
      <c r="AV744" s="192"/>
    </row>
    <row r="745">
      <c r="A745" s="192"/>
      <c r="B745" s="192"/>
      <c r="C745" s="192"/>
      <c r="D745" s="192"/>
      <c r="E745" s="192"/>
      <c r="F745" s="192"/>
      <c r="G745" s="192"/>
      <c r="H745" s="192"/>
      <c r="I745" s="192"/>
      <c r="J745" s="192"/>
      <c r="K745" s="192"/>
      <c r="L745" s="192"/>
      <c r="M745" s="192"/>
      <c r="N745" s="192"/>
      <c r="O745" s="192"/>
      <c r="P745" s="192"/>
      <c r="Q745" s="192"/>
      <c r="R745" s="192"/>
      <c r="S745" s="192"/>
      <c r="T745" s="192"/>
      <c r="U745" s="192"/>
      <c r="V745" s="192"/>
      <c r="W745" s="192"/>
      <c r="X745" s="192"/>
      <c r="Y745" s="192"/>
      <c r="Z745" s="192"/>
      <c r="AA745" s="192"/>
      <c r="AB745" s="192"/>
      <c r="AC745" s="192"/>
      <c r="AD745" s="192"/>
      <c r="AE745" s="192"/>
      <c r="AF745" s="192"/>
      <c r="AG745" s="192"/>
      <c r="AH745" s="192"/>
      <c r="AI745" s="192"/>
      <c r="AJ745" s="192"/>
      <c r="AK745" s="192"/>
      <c r="AL745" s="192"/>
      <c r="AM745" s="192"/>
      <c r="AN745" s="192"/>
      <c r="AO745" s="192"/>
      <c r="AP745" s="192"/>
      <c r="AQ745" s="192"/>
      <c r="AR745" s="192"/>
      <c r="AS745" s="192"/>
      <c r="AT745" s="192"/>
      <c r="AU745" s="192"/>
      <c r="AV745" s="192"/>
    </row>
    <row r="746">
      <c r="A746" s="192"/>
      <c r="B746" s="192"/>
      <c r="C746" s="192"/>
      <c r="D746" s="192"/>
      <c r="E746" s="192"/>
      <c r="F746" s="192"/>
      <c r="G746" s="192"/>
      <c r="H746" s="192"/>
      <c r="I746" s="192"/>
      <c r="J746" s="192"/>
      <c r="K746" s="192"/>
      <c r="L746" s="192"/>
      <c r="M746" s="192"/>
      <c r="N746" s="192"/>
      <c r="O746" s="192"/>
      <c r="P746" s="192"/>
      <c r="Q746" s="192"/>
      <c r="R746" s="192"/>
      <c r="S746" s="192"/>
      <c r="T746" s="192"/>
      <c r="U746" s="192"/>
      <c r="V746" s="192"/>
      <c r="W746" s="192"/>
      <c r="X746" s="192"/>
      <c r="Y746" s="192"/>
      <c r="Z746" s="192"/>
      <c r="AA746" s="192"/>
      <c r="AB746" s="192"/>
      <c r="AC746" s="192"/>
      <c r="AD746" s="192"/>
      <c r="AE746" s="192"/>
      <c r="AF746" s="192"/>
      <c r="AG746" s="192"/>
      <c r="AH746" s="192"/>
      <c r="AI746" s="192"/>
      <c r="AJ746" s="192"/>
      <c r="AK746" s="192"/>
      <c r="AL746" s="192"/>
      <c r="AM746" s="192"/>
      <c r="AN746" s="192"/>
      <c r="AO746" s="192"/>
      <c r="AP746" s="192"/>
      <c r="AQ746" s="192"/>
      <c r="AR746" s="192"/>
      <c r="AS746" s="192"/>
      <c r="AT746" s="192"/>
      <c r="AU746" s="192"/>
      <c r="AV746" s="192"/>
    </row>
    <row r="747">
      <c r="A747" s="192"/>
      <c r="B747" s="192"/>
      <c r="C747" s="192"/>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2"/>
      <c r="AA747" s="192"/>
      <c r="AB747" s="192"/>
      <c r="AC747" s="192"/>
      <c r="AD747" s="192"/>
      <c r="AE747" s="192"/>
      <c r="AF747" s="192"/>
      <c r="AG747" s="192"/>
      <c r="AH747" s="192"/>
      <c r="AI747" s="192"/>
      <c r="AJ747" s="192"/>
      <c r="AK747" s="192"/>
      <c r="AL747" s="192"/>
      <c r="AM747" s="192"/>
      <c r="AN747" s="192"/>
      <c r="AO747" s="192"/>
      <c r="AP747" s="192"/>
      <c r="AQ747" s="192"/>
      <c r="AR747" s="192"/>
      <c r="AS747" s="192"/>
      <c r="AT747" s="192"/>
      <c r="AU747" s="192"/>
      <c r="AV747" s="192"/>
    </row>
    <row r="748">
      <c r="A748" s="192"/>
      <c r="B748" s="192"/>
      <c r="C748" s="192"/>
      <c r="D748" s="192"/>
      <c r="E748" s="192"/>
      <c r="F748" s="192"/>
      <c r="G748" s="192"/>
      <c r="H748" s="192"/>
      <c r="I748" s="192"/>
      <c r="J748" s="192"/>
      <c r="K748" s="192"/>
      <c r="L748" s="192"/>
      <c r="M748" s="192"/>
      <c r="N748" s="192"/>
      <c r="O748" s="192"/>
      <c r="P748" s="192"/>
      <c r="Q748" s="192"/>
      <c r="R748" s="192"/>
      <c r="S748" s="192"/>
      <c r="T748" s="192"/>
      <c r="U748" s="192"/>
      <c r="V748" s="192"/>
      <c r="W748" s="192"/>
      <c r="X748" s="192"/>
      <c r="Y748" s="192"/>
      <c r="Z748" s="192"/>
      <c r="AA748" s="192"/>
      <c r="AB748" s="192"/>
      <c r="AC748" s="192"/>
      <c r="AD748" s="192"/>
      <c r="AE748" s="192"/>
      <c r="AF748" s="192"/>
      <c r="AG748" s="192"/>
      <c r="AH748" s="192"/>
      <c r="AI748" s="192"/>
      <c r="AJ748" s="192"/>
      <c r="AK748" s="192"/>
      <c r="AL748" s="192"/>
      <c r="AM748" s="192"/>
      <c r="AN748" s="192"/>
      <c r="AO748" s="192"/>
      <c r="AP748" s="192"/>
      <c r="AQ748" s="192"/>
      <c r="AR748" s="192"/>
      <c r="AS748" s="192"/>
      <c r="AT748" s="192"/>
      <c r="AU748" s="192"/>
      <c r="AV748" s="192"/>
    </row>
    <row r="749">
      <c r="A749" s="192"/>
      <c r="B749" s="192"/>
      <c r="C749" s="192"/>
      <c r="D749" s="192"/>
      <c r="E749" s="192"/>
      <c r="F749" s="192"/>
      <c r="G749" s="192"/>
      <c r="H749" s="192"/>
      <c r="I749" s="192"/>
      <c r="J749" s="192"/>
      <c r="K749" s="192"/>
      <c r="L749" s="192"/>
      <c r="M749" s="192"/>
      <c r="N749" s="192"/>
      <c r="O749" s="192"/>
      <c r="P749" s="192"/>
      <c r="Q749" s="192"/>
      <c r="R749" s="192"/>
      <c r="S749" s="192"/>
      <c r="T749" s="192"/>
      <c r="U749" s="192"/>
      <c r="V749" s="192"/>
      <c r="W749" s="192"/>
      <c r="X749" s="192"/>
      <c r="Y749" s="192"/>
      <c r="Z749" s="192"/>
      <c r="AA749" s="192"/>
      <c r="AB749" s="192"/>
      <c r="AC749" s="192"/>
      <c r="AD749" s="192"/>
      <c r="AE749" s="192"/>
      <c r="AF749" s="192"/>
      <c r="AG749" s="192"/>
      <c r="AH749" s="192"/>
      <c r="AI749" s="192"/>
      <c r="AJ749" s="192"/>
      <c r="AK749" s="192"/>
      <c r="AL749" s="192"/>
      <c r="AM749" s="192"/>
      <c r="AN749" s="192"/>
      <c r="AO749" s="192"/>
      <c r="AP749" s="192"/>
      <c r="AQ749" s="192"/>
      <c r="AR749" s="192"/>
      <c r="AS749" s="192"/>
      <c r="AT749" s="192"/>
      <c r="AU749" s="192"/>
      <c r="AV749" s="192"/>
    </row>
    <row r="750">
      <c r="A750" s="192"/>
      <c r="B750" s="192"/>
      <c r="C750" s="192"/>
      <c r="D750" s="192"/>
      <c r="E750" s="192"/>
      <c r="F750" s="192"/>
      <c r="G750" s="192"/>
      <c r="H750" s="192"/>
      <c r="I750" s="192"/>
      <c r="J750" s="192"/>
      <c r="K750" s="192"/>
      <c r="L750" s="192"/>
      <c r="M750" s="192"/>
      <c r="N750" s="192"/>
      <c r="O750" s="192"/>
      <c r="P750" s="192"/>
      <c r="Q750" s="192"/>
      <c r="R750" s="192"/>
      <c r="S750" s="192"/>
      <c r="T750" s="192"/>
      <c r="U750" s="192"/>
      <c r="V750" s="192"/>
      <c r="W750" s="192"/>
      <c r="X750" s="192"/>
      <c r="Y750" s="192"/>
      <c r="Z750" s="192"/>
      <c r="AA750" s="192"/>
      <c r="AB750" s="192"/>
      <c r="AC750" s="192"/>
      <c r="AD750" s="192"/>
      <c r="AE750" s="192"/>
      <c r="AF750" s="192"/>
      <c r="AG750" s="192"/>
      <c r="AH750" s="192"/>
      <c r="AI750" s="192"/>
      <c r="AJ750" s="192"/>
      <c r="AK750" s="192"/>
      <c r="AL750" s="192"/>
      <c r="AM750" s="192"/>
      <c r="AN750" s="192"/>
      <c r="AO750" s="192"/>
      <c r="AP750" s="192"/>
      <c r="AQ750" s="192"/>
      <c r="AR750" s="192"/>
      <c r="AS750" s="192"/>
      <c r="AT750" s="192"/>
      <c r="AU750" s="192"/>
      <c r="AV750" s="192"/>
    </row>
    <row r="751">
      <c r="A751" s="192"/>
      <c r="B751" s="192"/>
      <c r="C751" s="192"/>
      <c r="D751" s="192"/>
      <c r="E751" s="192"/>
      <c r="F751" s="192"/>
      <c r="G751" s="192"/>
      <c r="H751" s="192"/>
      <c r="I751" s="192"/>
      <c r="J751" s="192"/>
      <c r="K751" s="192"/>
      <c r="L751" s="192"/>
      <c r="M751" s="192"/>
      <c r="N751" s="192"/>
      <c r="O751" s="192"/>
      <c r="P751" s="192"/>
      <c r="Q751" s="192"/>
      <c r="R751" s="192"/>
      <c r="S751" s="192"/>
      <c r="T751" s="192"/>
      <c r="U751" s="192"/>
      <c r="V751" s="192"/>
      <c r="W751" s="192"/>
      <c r="X751" s="192"/>
      <c r="Y751" s="192"/>
      <c r="Z751" s="192"/>
      <c r="AA751" s="192"/>
      <c r="AB751" s="192"/>
      <c r="AC751" s="192"/>
      <c r="AD751" s="192"/>
      <c r="AE751" s="192"/>
      <c r="AF751" s="192"/>
      <c r="AG751" s="192"/>
      <c r="AH751" s="192"/>
      <c r="AI751" s="192"/>
      <c r="AJ751" s="192"/>
      <c r="AK751" s="192"/>
      <c r="AL751" s="192"/>
      <c r="AM751" s="192"/>
      <c r="AN751" s="192"/>
      <c r="AO751" s="192"/>
      <c r="AP751" s="192"/>
      <c r="AQ751" s="192"/>
      <c r="AR751" s="192"/>
      <c r="AS751" s="192"/>
      <c r="AT751" s="192"/>
      <c r="AU751" s="192"/>
      <c r="AV751" s="192"/>
    </row>
    <row r="752">
      <c r="A752" s="192"/>
      <c r="B752" s="192"/>
      <c r="C752" s="192"/>
      <c r="D752" s="192"/>
      <c r="E752" s="192"/>
      <c r="F752" s="192"/>
      <c r="G752" s="192"/>
      <c r="H752" s="192"/>
      <c r="I752" s="192"/>
      <c r="J752" s="192"/>
      <c r="K752" s="192"/>
      <c r="L752" s="192"/>
      <c r="M752" s="192"/>
      <c r="N752" s="192"/>
      <c r="O752" s="192"/>
      <c r="P752" s="192"/>
      <c r="Q752" s="192"/>
      <c r="R752" s="192"/>
      <c r="S752" s="192"/>
      <c r="T752" s="192"/>
      <c r="U752" s="192"/>
      <c r="V752" s="192"/>
      <c r="W752" s="192"/>
      <c r="X752" s="192"/>
      <c r="Y752" s="192"/>
      <c r="Z752" s="192"/>
      <c r="AA752" s="192"/>
      <c r="AB752" s="192"/>
      <c r="AC752" s="192"/>
      <c r="AD752" s="192"/>
      <c r="AE752" s="192"/>
      <c r="AF752" s="192"/>
      <c r="AG752" s="192"/>
      <c r="AH752" s="192"/>
      <c r="AI752" s="192"/>
      <c r="AJ752" s="192"/>
      <c r="AK752" s="192"/>
      <c r="AL752" s="192"/>
      <c r="AM752" s="192"/>
      <c r="AN752" s="192"/>
      <c r="AO752" s="192"/>
      <c r="AP752" s="192"/>
      <c r="AQ752" s="192"/>
      <c r="AR752" s="192"/>
      <c r="AS752" s="192"/>
      <c r="AT752" s="192"/>
      <c r="AU752" s="192"/>
      <c r="AV752" s="192"/>
    </row>
    <row r="753">
      <c r="A753" s="192"/>
      <c r="B753" s="192"/>
      <c r="C753" s="192"/>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192"/>
      <c r="Z753" s="192"/>
      <c r="AA753" s="192"/>
      <c r="AB753" s="192"/>
      <c r="AC753" s="192"/>
      <c r="AD753" s="192"/>
      <c r="AE753" s="192"/>
      <c r="AF753" s="192"/>
      <c r="AG753" s="192"/>
      <c r="AH753" s="192"/>
      <c r="AI753" s="192"/>
      <c r="AJ753" s="192"/>
      <c r="AK753" s="192"/>
      <c r="AL753" s="192"/>
      <c r="AM753" s="192"/>
      <c r="AN753" s="192"/>
      <c r="AO753" s="192"/>
      <c r="AP753" s="192"/>
      <c r="AQ753" s="192"/>
      <c r="AR753" s="192"/>
      <c r="AS753" s="192"/>
      <c r="AT753" s="192"/>
      <c r="AU753" s="192"/>
      <c r="AV753" s="192"/>
    </row>
    <row r="754">
      <c r="A754" s="192"/>
      <c r="B754" s="192"/>
      <c r="C754" s="192"/>
      <c r="D754" s="192"/>
      <c r="E754" s="192"/>
      <c r="F754" s="192"/>
      <c r="G754" s="192"/>
      <c r="H754" s="192"/>
      <c r="I754" s="192"/>
      <c r="J754" s="192"/>
      <c r="K754" s="192"/>
      <c r="L754" s="192"/>
      <c r="M754" s="192"/>
      <c r="N754" s="192"/>
      <c r="O754" s="192"/>
      <c r="P754" s="192"/>
      <c r="Q754" s="192"/>
      <c r="R754" s="192"/>
      <c r="S754" s="192"/>
      <c r="T754" s="192"/>
      <c r="U754" s="192"/>
      <c r="V754" s="192"/>
      <c r="W754" s="192"/>
      <c r="X754" s="192"/>
      <c r="Y754" s="192"/>
      <c r="Z754" s="192"/>
      <c r="AA754" s="192"/>
      <c r="AB754" s="192"/>
      <c r="AC754" s="192"/>
      <c r="AD754" s="192"/>
      <c r="AE754" s="192"/>
      <c r="AF754" s="192"/>
      <c r="AG754" s="192"/>
      <c r="AH754" s="192"/>
      <c r="AI754" s="192"/>
      <c r="AJ754" s="192"/>
      <c r="AK754" s="192"/>
      <c r="AL754" s="192"/>
      <c r="AM754" s="192"/>
      <c r="AN754" s="192"/>
      <c r="AO754" s="192"/>
      <c r="AP754" s="192"/>
      <c r="AQ754" s="192"/>
      <c r="AR754" s="192"/>
      <c r="AS754" s="192"/>
      <c r="AT754" s="192"/>
      <c r="AU754" s="192"/>
      <c r="AV754" s="192"/>
    </row>
    <row r="755">
      <c r="A755" s="192"/>
      <c r="B755" s="192"/>
      <c r="C755" s="192"/>
      <c r="D755" s="192"/>
      <c r="E755" s="192"/>
      <c r="F755" s="192"/>
      <c r="G755" s="192"/>
      <c r="H755" s="192"/>
      <c r="I755" s="192"/>
      <c r="J755" s="192"/>
      <c r="K755" s="192"/>
      <c r="L755" s="192"/>
      <c r="M755" s="192"/>
      <c r="N755" s="192"/>
      <c r="O755" s="192"/>
      <c r="P755" s="192"/>
      <c r="Q755" s="192"/>
      <c r="R755" s="192"/>
      <c r="S755" s="192"/>
      <c r="T755" s="192"/>
      <c r="U755" s="192"/>
      <c r="V755" s="192"/>
      <c r="W755" s="192"/>
      <c r="X755" s="192"/>
      <c r="Y755" s="192"/>
      <c r="Z755" s="192"/>
      <c r="AA755" s="192"/>
      <c r="AB755" s="192"/>
      <c r="AC755" s="192"/>
      <c r="AD755" s="192"/>
      <c r="AE755" s="192"/>
      <c r="AF755" s="192"/>
      <c r="AG755" s="192"/>
      <c r="AH755" s="192"/>
      <c r="AI755" s="192"/>
      <c r="AJ755" s="192"/>
      <c r="AK755" s="192"/>
      <c r="AL755" s="192"/>
      <c r="AM755" s="192"/>
      <c r="AN755" s="192"/>
      <c r="AO755" s="192"/>
      <c r="AP755" s="192"/>
      <c r="AQ755" s="192"/>
      <c r="AR755" s="192"/>
      <c r="AS755" s="192"/>
      <c r="AT755" s="192"/>
      <c r="AU755" s="192"/>
      <c r="AV755" s="192"/>
    </row>
    <row r="756">
      <c r="A756" s="192"/>
      <c r="B756" s="192"/>
      <c r="C756" s="192"/>
      <c r="D756" s="192"/>
      <c r="E756" s="192"/>
      <c r="F756" s="192"/>
      <c r="G756" s="192"/>
      <c r="H756" s="192"/>
      <c r="I756" s="192"/>
      <c r="J756" s="192"/>
      <c r="K756" s="192"/>
      <c r="L756" s="192"/>
      <c r="M756" s="192"/>
      <c r="N756" s="192"/>
      <c r="O756" s="192"/>
      <c r="P756" s="192"/>
      <c r="Q756" s="192"/>
      <c r="R756" s="192"/>
      <c r="S756" s="192"/>
      <c r="T756" s="192"/>
      <c r="U756" s="192"/>
      <c r="V756" s="192"/>
      <c r="W756" s="192"/>
      <c r="X756" s="192"/>
      <c r="Y756" s="192"/>
      <c r="Z756" s="192"/>
      <c r="AA756" s="192"/>
      <c r="AB756" s="192"/>
      <c r="AC756" s="192"/>
      <c r="AD756" s="192"/>
      <c r="AE756" s="192"/>
      <c r="AF756" s="192"/>
      <c r="AG756" s="192"/>
      <c r="AH756" s="192"/>
      <c r="AI756" s="192"/>
      <c r="AJ756" s="192"/>
      <c r="AK756" s="192"/>
      <c r="AL756" s="192"/>
      <c r="AM756" s="192"/>
      <c r="AN756" s="192"/>
      <c r="AO756" s="192"/>
      <c r="AP756" s="192"/>
      <c r="AQ756" s="192"/>
      <c r="AR756" s="192"/>
      <c r="AS756" s="192"/>
      <c r="AT756" s="192"/>
      <c r="AU756" s="192"/>
      <c r="AV756" s="192"/>
    </row>
    <row r="757">
      <c r="A757" s="192"/>
      <c r="B757" s="192"/>
      <c r="C757" s="192"/>
      <c r="D757" s="192"/>
      <c r="E757" s="192"/>
      <c r="F757" s="192"/>
      <c r="G757" s="192"/>
      <c r="H757" s="192"/>
      <c r="I757" s="192"/>
      <c r="J757" s="192"/>
      <c r="K757" s="192"/>
      <c r="L757" s="192"/>
      <c r="M757" s="192"/>
      <c r="N757" s="192"/>
      <c r="O757" s="192"/>
      <c r="P757" s="192"/>
      <c r="Q757" s="192"/>
      <c r="R757" s="192"/>
      <c r="S757" s="192"/>
      <c r="T757" s="192"/>
      <c r="U757" s="192"/>
      <c r="V757" s="192"/>
      <c r="W757" s="192"/>
      <c r="X757" s="192"/>
      <c r="Y757" s="192"/>
      <c r="Z757" s="192"/>
      <c r="AA757" s="192"/>
      <c r="AB757" s="192"/>
      <c r="AC757" s="192"/>
      <c r="AD757" s="192"/>
      <c r="AE757" s="192"/>
      <c r="AF757" s="192"/>
      <c r="AG757" s="192"/>
      <c r="AH757" s="192"/>
      <c r="AI757" s="192"/>
      <c r="AJ757" s="192"/>
      <c r="AK757" s="192"/>
      <c r="AL757" s="192"/>
      <c r="AM757" s="192"/>
      <c r="AN757" s="192"/>
      <c r="AO757" s="192"/>
      <c r="AP757" s="192"/>
      <c r="AQ757" s="192"/>
      <c r="AR757" s="192"/>
      <c r="AS757" s="192"/>
      <c r="AT757" s="192"/>
      <c r="AU757" s="192"/>
      <c r="AV757" s="192"/>
    </row>
    <row r="758">
      <c r="A758" s="192"/>
      <c r="B758" s="192"/>
      <c r="C758" s="192"/>
      <c r="D758" s="192"/>
      <c r="E758" s="192"/>
      <c r="F758" s="192"/>
      <c r="G758" s="192"/>
      <c r="H758" s="192"/>
      <c r="I758" s="192"/>
      <c r="J758" s="192"/>
      <c r="K758" s="192"/>
      <c r="L758" s="192"/>
      <c r="M758" s="192"/>
      <c r="N758" s="192"/>
      <c r="O758" s="192"/>
      <c r="P758" s="192"/>
      <c r="Q758" s="192"/>
      <c r="R758" s="192"/>
      <c r="S758" s="192"/>
      <c r="T758" s="192"/>
      <c r="U758" s="192"/>
      <c r="V758" s="192"/>
      <c r="W758" s="192"/>
      <c r="X758" s="192"/>
      <c r="Y758" s="192"/>
      <c r="Z758" s="192"/>
      <c r="AA758" s="192"/>
      <c r="AB758" s="192"/>
      <c r="AC758" s="192"/>
      <c r="AD758" s="192"/>
      <c r="AE758" s="192"/>
      <c r="AF758" s="192"/>
      <c r="AG758" s="192"/>
      <c r="AH758" s="192"/>
      <c r="AI758" s="192"/>
      <c r="AJ758" s="192"/>
      <c r="AK758" s="192"/>
      <c r="AL758" s="192"/>
      <c r="AM758" s="192"/>
      <c r="AN758" s="192"/>
      <c r="AO758" s="192"/>
      <c r="AP758" s="192"/>
      <c r="AQ758" s="192"/>
      <c r="AR758" s="192"/>
      <c r="AS758" s="192"/>
      <c r="AT758" s="192"/>
      <c r="AU758" s="192"/>
      <c r="AV758" s="192"/>
    </row>
    <row r="759">
      <c r="A759" s="192"/>
      <c r="B759" s="192"/>
      <c r="C759" s="192"/>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2"/>
      <c r="AA759" s="192"/>
      <c r="AB759" s="192"/>
      <c r="AC759" s="192"/>
      <c r="AD759" s="192"/>
      <c r="AE759" s="192"/>
      <c r="AF759" s="192"/>
      <c r="AG759" s="192"/>
      <c r="AH759" s="192"/>
      <c r="AI759" s="192"/>
      <c r="AJ759" s="192"/>
      <c r="AK759" s="192"/>
      <c r="AL759" s="192"/>
      <c r="AM759" s="192"/>
      <c r="AN759" s="192"/>
      <c r="AO759" s="192"/>
      <c r="AP759" s="192"/>
      <c r="AQ759" s="192"/>
      <c r="AR759" s="192"/>
      <c r="AS759" s="192"/>
      <c r="AT759" s="192"/>
      <c r="AU759" s="192"/>
      <c r="AV759" s="192"/>
    </row>
    <row r="760">
      <c r="A760" s="192"/>
      <c r="B760" s="192"/>
      <c r="C760" s="192"/>
      <c r="D760" s="192"/>
      <c r="E760" s="192"/>
      <c r="F760" s="192"/>
      <c r="G760" s="192"/>
      <c r="H760" s="192"/>
      <c r="I760" s="192"/>
      <c r="J760" s="192"/>
      <c r="K760" s="192"/>
      <c r="L760" s="192"/>
      <c r="M760" s="192"/>
      <c r="N760" s="192"/>
      <c r="O760" s="192"/>
      <c r="P760" s="192"/>
      <c r="Q760" s="192"/>
      <c r="R760" s="192"/>
      <c r="S760" s="192"/>
      <c r="T760" s="192"/>
      <c r="U760" s="192"/>
      <c r="V760" s="192"/>
      <c r="W760" s="192"/>
      <c r="X760" s="192"/>
      <c r="Y760" s="192"/>
      <c r="Z760" s="192"/>
      <c r="AA760" s="192"/>
      <c r="AB760" s="192"/>
      <c r="AC760" s="192"/>
      <c r="AD760" s="192"/>
      <c r="AE760" s="192"/>
      <c r="AF760" s="192"/>
      <c r="AG760" s="192"/>
      <c r="AH760" s="192"/>
      <c r="AI760" s="192"/>
      <c r="AJ760" s="192"/>
      <c r="AK760" s="192"/>
      <c r="AL760" s="192"/>
      <c r="AM760" s="192"/>
      <c r="AN760" s="192"/>
      <c r="AO760" s="192"/>
      <c r="AP760" s="192"/>
      <c r="AQ760" s="192"/>
      <c r="AR760" s="192"/>
      <c r="AS760" s="192"/>
      <c r="AT760" s="192"/>
      <c r="AU760" s="192"/>
      <c r="AV760" s="192"/>
    </row>
    <row r="761">
      <c r="A761" s="192"/>
      <c r="B761" s="192"/>
      <c r="C761" s="192"/>
      <c r="D761" s="192"/>
      <c r="E761" s="192"/>
      <c r="F761" s="192"/>
      <c r="G761" s="192"/>
      <c r="H761" s="192"/>
      <c r="I761" s="192"/>
      <c r="J761" s="192"/>
      <c r="K761" s="192"/>
      <c r="L761" s="192"/>
      <c r="M761" s="192"/>
      <c r="N761" s="192"/>
      <c r="O761" s="192"/>
      <c r="P761" s="192"/>
      <c r="Q761" s="192"/>
      <c r="R761" s="192"/>
      <c r="S761" s="192"/>
      <c r="T761" s="192"/>
      <c r="U761" s="192"/>
      <c r="V761" s="192"/>
      <c r="W761" s="192"/>
      <c r="X761" s="192"/>
      <c r="Y761" s="192"/>
      <c r="Z761" s="192"/>
      <c r="AA761" s="192"/>
      <c r="AB761" s="192"/>
      <c r="AC761" s="192"/>
      <c r="AD761" s="192"/>
      <c r="AE761" s="192"/>
      <c r="AF761" s="192"/>
      <c r="AG761" s="192"/>
      <c r="AH761" s="192"/>
      <c r="AI761" s="192"/>
      <c r="AJ761" s="192"/>
      <c r="AK761" s="192"/>
      <c r="AL761" s="192"/>
      <c r="AM761" s="192"/>
      <c r="AN761" s="192"/>
      <c r="AO761" s="192"/>
      <c r="AP761" s="192"/>
      <c r="AQ761" s="192"/>
      <c r="AR761" s="192"/>
      <c r="AS761" s="192"/>
      <c r="AT761" s="192"/>
      <c r="AU761" s="192"/>
      <c r="AV761" s="192"/>
    </row>
    <row r="762">
      <c r="A762" s="192"/>
      <c r="B762" s="192"/>
      <c r="C762" s="192"/>
      <c r="D762" s="192"/>
      <c r="E762" s="192"/>
      <c r="F762" s="192"/>
      <c r="G762" s="192"/>
      <c r="H762" s="192"/>
      <c r="I762" s="192"/>
      <c r="J762" s="192"/>
      <c r="K762" s="192"/>
      <c r="L762" s="192"/>
      <c r="M762" s="192"/>
      <c r="N762" s="192"/>
      <c r="O762" s="192"/>
      <c r="P762" s="192"/>
      <c r="Q762" s="192"/>
      <c r="R762" s="192"/>
      <c r="S762" s="192"/>
      <c r="T762" s="192"/>
      <c r="U762" s="192"/>
      <c r="V762" s="192"/>
      <c r="W762" s="192"/>
      <c r="X762" s="192"/>
      <c r="Y762" s="192"/>
      <c r="Z762" s="192"/>
      <c r="AA762" s="192"/>
      <c r="AB762" s="192"/>
      <c r="AC762" s="192"/>
      <c r="AD762" s="192"/>
      <c r="AE762" s="192"/>
      <c r="AF762" s="192"/>
      <c r="AG762" s="192"/>
      <c r="AH762" s="192"/>
      <c r="AI762" s="192"/>
      <c r="AJ762" s="192"/>
      <c r="AK762" s="192"/>
      <c r="AL762" s="192"/>
      <c r="AM762" s="192"/>
      <c r="AN762" s="192"/>
      <c r="AO762" s="192"/>
      <c r="AP762" s="192"/>
      <c r="AQ762" s="192"/>
      <c r="AR762" s="192"/>
      <c r="AS762" s="192"/>
      <c r="AT762" s="192"/>
      <c r="AU762" s="192"/>
      <c r="AV762" s="192"/>
    </row>
    <row r="763">
      <c r="A763" s="192"/>
      <c r="B763" s="192"/>
      <c r="C763" s="192"/>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2"/>
      <c r="AA763" s="192"/>
      <c r="AB763" s="192"/>
      <c r="AC763" s="192"/>
      <c r="AD763" s="192"/>
      <c r="AE763" s="192"/>
      <c r="AF763" s="192"/>
      <c r="AG763" s="192"/>
      <c r="AH763" s="192"/>
      <c r="AI763" s="192"/>
      <c r="AJ763" s="192"/>
      <c r="AK763" s="192"/>
      <c r="AL763" s="192"/>
      <c r="AM763" s="192"/>
      <c r="AN763" s="192"/>
      <c r="AO763" s="192"/>
      <c r="AP763" s="192"/>
      <c r="AQ763" s="192"/>
      <c r="AR763" s="192"/>
      <c r="AS763" s="192"/>
      <c r="AT763" s="192"/>
      <c r="AU763" s="192"/>
      <c r="AV763" s="192"/>
    </row>
    <row r="764">
      <c r="A764" s="192"/>
      <c r="B764" s="192"/>
      <c r="C764" s="192"/>
      <c r="D764" s="192"/>
      <c r="E764" s="192"/>
      <c r="F764" s="192"/>
      <c r="G764" s="192"/>
      <c r="H764" s="192"/>
      <c r="I764" s="192"/>
      <c r="J764" s="192"/>
      <c r="K764" s="192"/>
      <c r="L764" s="192"/>
      <c r="M764" s="192"/>
      <c r="N764" s="192"/>
      <c r="O764" s="192"/>
      <c r="P764" s="192"/>
      <c r="Q764" s="192"/>
      <c r="R764" s="192"/>
      <c r="S764" s="192"/>
      <c r="T764" s="192"/>
      <c r="U764" s="192"/>
      <c r="V764" s="192"/>
      <c r="W764" s="192"/>
      <c r="X764" s="192"/>
      <c r="Y764" s="192"/>
      <c r="Z764" s="192"/>
      <c r="AA764" s="192"/>
      <c r="AB764" s="192"/>
      <c r="AC764" s="192"/>
      <c r="AD764" s="192"/>
      <c r="AE764" s="192"/>
      <c r="AF764" s="192"/>
      <c r="AG764" s="192"/>
      <c r="AH764" s="192"/>
      <c r="AI764" s="192"/>
      <c r="AJ764" s="192"/>
      <c r="AK764" s="192"/>
      <c r="AL764" s="192"/>
      <c r="AM764" s="192"/>
      <c r="AN764" s="192"/>
      <c r="AO764" s="192"/>
      <c r="AP764" s="192"/>
      <c r="AQ764" s="192"/>
      <c r="AR764" s="192"/>
      <c r="AS764" s="192"/>
      <c r="AT764" s="192"/>
      <c r="AU764" s="192"/>
      <c r="AV764" s="192"/>
    </row>
    <row r="765">
      <c r="A765" s="192"/>
      <c r="B765" s="192"/>
      <c r="C765" s="192"/>
      <c r="D765" s="192"/>
      <c r="E765" s="192"/>
      <c r="F765" s="192"/>
      <c r="G765" s="192"/>
      <c r="H765" s="192"/>
      <c r="I765" s="192"/>
      <c r="J765" s="192"/>
      <c r="K765" s="192"/>
      <c r="L765" s="192"/>
      <c r="M765" s="192"/>
      <c r="N765" s="192"/>
      <c r="O765" s="192"/>
      <c r="P765" s="192"/>
      <c r="Q765" s="192"/>
      <c r="R765" s="192"/>
      <c r="S765" s="192"/>
      <c r="T765" s="192"/>
      <c r="U765" s="192"/>
      <c r="V765" s="192"/>
      <c r="W765" s="192"/>
      <c r="X765" s="192"/>
      <c r="Y765" s="192"/>
      <c r="Z765" s="192"/>
      <c r="AA765" s="192"/>
      <c r="AB765" s="192"/>
      <c r="AC765" s="192"/>
      <c r="AD765" s="192"/>
      <c r="AE765" s="192"/>
      <c r="AF765" s="192"/>
      <c r="AG765" s="192"/>
      <c r="AH765" s="192"/>
      <c r="AI765" s="192"/>
      <c r="AJ765" s="192"/>
      <c r="AK765" s="192"/>
      <c r="AL765" s="192"/>
      <c r="AM765" s="192"/>
      <c r="AN765" s="192"/>
      <c r="AO765" s="192"/>
      <c r="AP765" s="192"/>
      <c r="AQ765" s="192"/>
      <c r="AR765" s="192"/>
      <c r="AS765" s="192"/>
      <c r="AT765" s="192"/>
      <c r="AU765" s="192"/>
      <c r="AV765" s="192"/>
    </row>
    <row r="766">
      <c r="A766" s="192"/>
      <c r="B766" s="192"/>
      <c r="C766" s="192"/>
      <c r="D766" s="192"/>
      <c r="E766" s="192"/>
      <c r="F766" s="192"/>
      <c r="G766" s="192"/>
      <c r="H766" s="192"/>
      <c r="I766" s="192"/>
      <c r="J766" s="192"/>
      <c r="K766" s="192"/>
      <c r="L766" s="192"/>
      <c r="M766" s="192"/>
      <c r="N766" s="192"/>
      <c r="O766" s="192"/>
      <c r="P766" s="192"/>
      <c r="Q766" s="192"/>
      <c r="R766" s="192"/>
      <c r="S766" s="192"/>
      <c r="T766" s="192"/>
      <c r="U766" s="192"/>
      <c r="V766" s="192"/>
      <c r="W766" s="192"/>
      <c r="X766" s="192"/>
      <c r="Y766" s="192"/>
      <c r="Z766" s="192"/>
      <c r="AA766" s="192"/>
      <c r="AB766" s="192"/>
      <c r="AC766" s="192"/>
      <c r="AD766" s="192"/>
      <c r="AE766" s="192"/>
      <c r="AF766" s="192"/>
      <c r="AG766" s="192"/>
      <c r="AH766" s="192"/>
      <c r="AI766" s="192"/>
      <c r="AJ766" s="192"/>
      <c r="AK766" s="192"/>
      <c r="AL766" s="192"/>
      <c r="AM766" s="192"/>
      <c r="AN766" s="192"/>
      <c r="AO766" s="192"/>
      <c r="AP766" s="192"/>
      <c r="AQ766" s="192"/>
      <c r="AR766" s="192"/>
      <c r="AS766" s="192"/>
      <c r="AT766" s="192"/>
      <c r="AU766" s="192"/>
      <c r="AV766" s="192"/>
    </row>
    <row r="767">
      <c r="A767" s="192"/>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92"/>
      <c r="Z767" s="192"/>
      <c r="AA767" s="192"/>
      <c r="AB767" s="192"/>
      <c r="AC767" s="192"/>
      <c r="AD767" s="192"/>
      <c r="AE767" s="192"/>
      <c r="AF767" s="192"/>
      <c r="AG767" s="192"/>
      <c r="AH767" s="192"/>
      <c r="AI767" s="192"/>
      <c r="AJ767" s="192"/>
      <c r="AK767" s="192"/>
      <c r="AL767" s="192"/>
      <c r="AM767" s="192"/>
      <c r="AN767" s="192"/>
      <c r="AO767" s="192"/>
      <c r="AP767" s="192"/>
      <c r="AQ767" s="192"/>
      <c r="AR767" s="192"/>
      <c r="AS767" s="192"/>
      <c r="AT767" s="192"/>
      <c r="AU767" s="192"/>
      <c r="AV767" s="192"/>
    </row>
    <row r="768">
      <c r="A768" s="192"/>
      <c r="B768" s="192"/>
      <c r="C768" s="192"/>
      <c r="D768" s="192"/>
      <c r="E768" s="192"/>
      <c r="F768" s="192"/>
      <c r="G768" s="192"/>
      <c r="H768" s="192"/>
      <c r="I768" s="192"/>
      <c r="J768" s="192"/>
      <c r="K768" s="192"/>
      <c r="L768" s="192"/>
      <c r="M768" s="192"/>
      <c r="N768" s="192"/>
      <c r="O768" s="192"/>
      <c r="P768" s="192"/>
      <c r="Q768" s="192"/>
      <c r="R768" s="192"/>
      <c r="S768" s="192"/>
      <c r="T768" s="192"/>
      <c r="U768" s="192"/>
      <c r="V768" s="192"/>
      <c r="W768" s="192"/>
      <c r="X768" s="192"/>
      <c r="Y768" s="192"/>
      <c r="Z768" s="192"/>
      <c r="AA768" s="192"/>
      <c r="AB768" s="192"/>
      <c r="AC768" s="192"/>
      <c r="AD768" s="192"/>
      <c r="AE768" s="192"/>
      <c r="AF768" s="192"/>
      <c r="AG768" s="192"/>
      <c r="AH768" s="192"/>
      <c r="AI768" s="192"/>
      <c r="AJ768" s="192"/>
      <c r="AK768" s="192"/>
      <c r="AL768" s="192"/>
      <c r="AM768" s="192"/>
      <c r="AN768" s="192"/>
      <c r="AO768" s="192"/>
      <c r="AP768" s="192"/>
      <c r="AQ768" s="192"/>
      <c r="AR768" s="192"/>
      <c r="AS768" s="192"/>
      <c r="AT768" s="192"/>
      <c r="AU768" s="192"/>
      <c r="AV768" s="192"/>
    </row>
    <row r="769">
      <c r="A769" s="192"/>
      <c r="B769" s="192"/>
      <c r="C769" s="192"/>
      <c r="D769" s="192"/>
      <c r="E769" s="192"/>
      <c r="F769" s="192"/>
      <c r="G769" s="192"/>
      <c r="H769" s="192"/>
      <c r="I769" s="192"/>
      <c r="J769" s="192"/>
      <c r="K769" s="192"/>
      <c r="L769" s="192"/>
      <c r="M769" s="192"/>
      <c r="N769" s="192"/>
      <c r="O769" s="192"/>
      <c r="P769" s="192"/>
      <c r="Q769" s="192"/>
      <c r="R769" s="192"/>
      <c r="S769" s="192"/>
      <c r="T769" s="192"/>
      <c r="U769" s="192"/>
      <c r="V769" s="192"/>
      <c r="W769" s="192"/>
      <c r="X769" s="192"/>
      <c r="Y769" s="192"/>
      <c r="Z769" s="192"/>
      <c r="AA769" s="192"/>
      <c r="AB769" s="192"/>
      <c r="AC769" s="192"/>
      <c r="AD769" s="192"/>
      <c r="AE769" s="192"/>
      <c r="AF769" s="192"/>
      <c r="AG769" s="192"/>
      <c r="AH769" s="192"/>
      <c r="AI769" s="192"/>
      <c r="AJ769" s="192"/>
      <c r="AK769" s="192"/>
      <c r="AL769" s="192"/>
      <c r="AM769" s="192"/>
      <c r="AN769" s="192"/>
      <c r="AO769" s="192"/>
      <c r="AP769" s="192"/>
      <c r="AQ769" s="192"/>
      <c r="AR769" s="192"/>
      <c r="AS769" s="192"/>
      <c r="AT769" s="192"/>
      <c r="AU769" s="192"/>
      <c r="AV769" s="192"/>
    </row>
    <row r="770">
      <c r="A770" s="192"/>
      <c r="B770" s="192"/>
      <c r="C770" s="192"/>
      <c r="D770" s="192"/>
      <c r="E770" s="192"/>
      <c r="F770" s="192"/>
      <c r="G770" s="192"/>
      <c r="H770" s="192"/>
      <c r="I770" s="192"/>
      <c r="J770" s="192"/>
      <c r="K770" s="192"/>
      <c r="L770" s="192"/>
      <c r="M770" s="192"/>
      <c r="N770" s="192"/>
      <c r="O770" s="192"/>
      <c r="P770" s="192"/>
      <c r="Q770" s="192"/>
      <c r="R770" s="192"/>
      <c r="S770" s="192"/>
      <c r="T770" s="192"/>
      <c r="U770" s="192"/>
      <c r="V770" s="192"/>
      <c r="W770" s="192"/>
      <c r="X770" s="192"/>
      <c r="Y770" s="192"/>
      <c r="Z770" s="192"/>
      <c r="AA770" s="192"/>
      <c r="AB770" s="192"/>
      <c r="AC770" s="192"/>
      <c r="AD770" s="192"/>
      <c r="AE770" s="192"/>
      <c r="AF770" s="192"/>
      <c r="AG770" s="192"/>
      <c r="AH770" s="192"/>
      <c r="AI770" s="192"/>
      <c r="AJ770" s="192"/>
      <c r="AK770" s="192"/>
      <c r="AL770" s="192"/>
      <c r="AM770" s="192"/>
      <c r="AN770" s="192"/>
      <c r="AO770" s="192"/>
      <c r="AP770" s="192"/>
      <c r="AQ770" s="192"/>
      <c r="AR770" s="192"/>
      <c r="AS770" s="192"/>
      <c r="AT770" s="192"/>
      <c r="AU770" s="192"/>
      <c r="AV770" s="192"/>
    </row>
    <row r="771">
      <c r="A771" s="192"/>
      <c r="B771" s="192"/>
      <c r="C771" s="192"/>
      <c r="D771" s="192"/>
      <c r="E771" s="192"/>
      <c r="F771" s="192"/>
      <c r="G771" s="192"/>
      <c r="H771" s="192"/>
      <c r="I771" s="192"/>
      <c r="J771" s="192"/>
      <c r="K771" s="192"/>
      <c r="L771" s="192"/>
      <c r="M771" s="192"/>
      <c r="N771" s="192"/>
      <c r="O771" s="192"/>
      <c r="P771" s="192"/>
      <c r="Q771" s="192"/>
      <c r="R771" s="192"/>
      <c r="S771" s="192"/>
      <c r="T771" s="192"/>
      <c r="U771" s="192"/>
      <c r="V771" s="192"/>
      <c r="W771" s="192"/>
      <c r="X771" s="192"/>
      <c r="Y771" s="192"/>
      <c r="Z771" s="192"/>
      <c r="AA771" s="192"/>
      <c r="AB771" s="192"/>
      <c r="AC771" s="192"/>
      <c r="AD771" s="192"/>
      <c r="AE771" s="192"/>
      <c r="AF771" s="192"/>
      <c r="AG771" s="192"/>
      <c r="AH771" s="192"/>
      <c r="AI771" s="192"/>
      <c r="AJ771" s="192"/>
      <c r="AK771" s="192"/>
      <c r="AL771" s="192"/>
      <c r="AM771" s="192"/>
      <c r="AN771" s="192"/>
      <c r="AO771" s="192"/>
      <c r="AP771" s="192"/>
      <c r="AQ771" s="192"/>
      <c r="AR771" s="192"/>
      <c r="AS771" s="192"/>
      <c r="AT771" s="192"/>
      <c r="AU771" s="192"/>
      <c r="AV771" s="192"/>
    </row>
    <row r="772">
      <c r="A772" s="192"/>
      <c r="B772" s="192"/>
      <c r="C772" s="192"/>
      <c r="D772" s="192"/>
      <c r="E772" s="192"/>
      <c r="F772" s="192"/>
      <c r="G772" s="192"/>
      <c r="H772" s="192"/>
      <c r="I772" s="192"/>
      <c r="J772" s="192"/>
      <c r="K772" s="192"/>
      <c r="L772" s="192"/>
      <c r="M772" s="192"/>
      <c r="N772" s="192"/>
      <c r="O772" s="192"/>
      <c r="P772" s="192"/>
      <c r="Q772" s="192"/>
      <c r="R772" s="192"/>
      <c r="S772" s="192"/>
      <c r="T772" s="192"/>
      <c r="U772" s="192"/>
      <c r="V772" s="192"/>
      <c r="W772" s="192"/>
      <c r="X772" s="192"/>
      <c r="Y772" s="192"/>
      <c r="Z772" s="192"/>
      <c r="AA772" s="192"/>
      <c r="AB772" s="192"/>
      <c r="AC772" s="192"/>
      <c r="AD772" s="192"/>
      <c r="AE772" s="192"/>
      <c r="AF772" s="192"/>
      <c r="AG772" s="192"/>
      <c r="AH772" s="192"/>
      <c r="AI772" s="192"/>
      <c r="AJ772" s="192"/>
      <c r="AK772" s="192"/>
      <c r="AL772" s="192"/>
      <c r="AM772" s="192"/>
      <c r="AN772" s="192"/>
      <c r="AO772" s="192"/>
      <c r="AP772" s="192"/>
      <c r="AQ772" s="192"/>
      <c r="AR772" s="192"/>
      <c r="AS772" s="192"/>
      <c r="AT772" s="192"/>
      <c r="AU772" s="192"/>
      <c r="AV772" s="192"/>
    </row>
    <row r="773">
      <c r="A773" s="192"/>
      <c r="B773" s="192"/>
      <c r="C773" s="192"/>
      <c r="D773" s="192"/>
      <c r="E773" s="192"/>
      <c r="F773" s="192"/>
      <c r="G773" s="192"/>
      <c r="H773" s="192"/>
      <c r="I773" s="192"/>
      <c r="J773" s="192"/>
      <c r="K773" s="192"/>
      <c r="L773" s="192"/>
      <c r="M773" s="192"/>
      <c r="N773" s="192"/>
      <c r="O773" s="192"/>
      <c r="P773" s="192"/>
      <c r="Q773" s="192"/>
      <c r="R773" s="192"/>
      <c r="S773" s="192"/>
      <c r="T773" s="192"/>
      <c r="U773" s="192"/>
      <c r="V773" s="192"/>
      <c r="W773" s="192"/>
      <c r="X773" s="192"/>
      <c r="Y773" s="192"/>
      <c r="Z773" s="192"/>
      <c r="AA773" s="192"/>
      <c r="AB773" s="192"/>
      <c r="AC773" s="192"/>
      <c r="AD773" s="192"/>
      <c r="AE773" s="192"/>
      <c r="AF773" s="192"/>
      <c r="AG773" s="192"/>
      <c r="AH773" s="192"/>
      <c r="AI773" s="192"/>
      <c r="AJ773" s="192"/>
      <c r="AK773" s="192"/>
      <c r="AL773" s="192"/>
      <c r="AM773" s="192"/>
      <c r="AN773" s="192"/>
      <c r="AO773" s="192"/>
      <c r="AP773" s="192"/>
      <c r="AQ773" s="192"/>
      <c r="AR773" s="192"/>
      <c r="AS773" s="192"/>
      <c r="AT773" s="192"/>
      <c r="AU773" s="192"/>
      <c r="AV773" s="192"/>
    </row>
    <row r="774">
      <c r="A774" s="192"/>
      <c r="B774" s="192"/>
      <c r="C774" s="192"/>
      <c r="D774" s="192"/>
      <c r="E774" s="192"/>
      <c r="F774" s="192"/>
      <c r="G774" s="192"/>
      <c r="H774" s="192"/>
      <c r="I774" s="192"/>
      <c r="J774" s="192"/>
      <c r="K774" s="192"/>
      <c r="L774" s="192"/>
      <c r="M774" s="192"/>
      <c r="N774" s="192"/>
      <c r="O774" s="192"/>
      <c r="P774" s="192"/>
      <c r="Q774" s="192"/>
      <c r="R774" s="192"/>
      <c r="S774" s="192"/>
      <c r="T774" s="192"/>
      <c r="U774" s="192"/>
      <c r="V774" s="192"/>
      <c r="W774" s="192"/>
      <c r="X774" s="192"/>
      <c r="Y774" s="192"/>
      <c r="Z774" s="192"/>
      <c r="AA774" s="192"/>
      <c r="AB774" s="192"/>
      <c r="AC774" s="192"/>
      <c r="AD774" s="192"/>
      <c r="AE774" s="192"/>
      <c r="AF774" s="192"/>
      <c r="AG774" s="192"/>
      <c r="AH774" s="192"/>
      <c r="AI774" s="192"/>
      <c r="AJ774" s="192"/>
      <c r="AK774" s="192"/>
      <c r="AL774" s="192"/>
      <c r="AM774" s="192"/>
      <c r="AN774" s="192"/>
      <c r="AO774" s="192"/>
      <c r="AP774" s="192"/>
      <c r="AQ774" s="192"/>
      <c r="AR774" s="192"/>
      <c r="AS774" s="192"/>
      <c r="AT774" s="192"/>
      <c r="AU774" s="192"/>
      <c r="AV774" s="192"/>
    </row>
    <row r="775">
      <c r="A775" s="192"/>
      <c r="B775" s="192"/>
      <c r="C775" s="192"/>
      <c r="D775" s="192"/>
      <c r="E775" s="192"/>
      <c r="F775" s="192"/>
      <c r="G775" s="192"/>
      <c r="H775" s="192"/>
      <c r="I775" s="192"/>
      <c r="J775" s="192"/>
      <c r="K775" s="192"/>
      <c r="L775" s="192"/>
      <c r="M775" s="192"/>
      <c r="N775" s="192"/>
      <c r="O775" s="192"/>
      <c r="P775" s="192"/>
      <c r="Q775" s="192"/>
      <c r="R775" s="192"/>
      <c r="S775" s="192"/>
      <c r="T775" s="192"/>
      <c r="U775" s="192"/>
      <c r="V775" s="192"/>
      <c r="W775" s="192"/>
      <c r="X775" s="192"/>
      <c r="Y775" s="192"/>
      <c r="Z775" s="192"/>
      <c r="AA775" s="192"/>
      <c r="AB775" s="192"/>
      <c r="AC775" s="192"/>
      <c r="AD775" s="192"/>
      <c r="AE775" s="192"/>
      <c r="AF775" s="192"/>
      <c r="AG775" s="192"/>
      <c r="AH775" s="192"/>
      <c r="AI775" s="192"/>
      <c r="AJ775" s="192"/>
      <c r="AK775" s="192"/>
      <c r="AL775" s="192"/>
      <c r="AM775" s="192"/>
      <c r="AN775" s="192"/>
      <c r="AO775" s="192"/>
      <c r="AP775" s="192"/>
      <c r="AQ775" s="192"/>
      <c r="AR775" s="192"/>
      <c r="AS775" s="192"/>
      <c r="AT775" s="192"/>
      <c r="AU775" s="192"/>
      <c r="AV775" s="192"/>
    </row>
    <row r="776">
      <c r="A776" s="192"/>
      <c r="B776" s="192"/>
      <c r="C776" s="192"/>
      <c r="D776" s="192"/>
      <c r="E776" s="192"/>
      <c r="F776" s="192"/>
      <c r="G776" s="192"/>
      <c r="H776" s="192"/>
      <c r="I776" s="192"/>
      <c r="J776" s="192"/>
      <c r="K776" s="192"/>
      <c r="L776" s="192"/>
      <c r="M776" s="192"/>
      <c r="N776" s="192"/>
      <c r="O776" s="192"/>
      <c r="P776" s="192"/>
      <c r="Q776" s="192"/>
      <c r="R776" s="192"/>
      <c r="S776" s="192"/>
      <c r="T776" s="192"/>
      <c r="U776" s="192"/>
      <c r="V776" s="192"/>
      <c r="W776" s="192"/>
      <c r="X776" s="192"/>
      <c r="Y776" s="192"/>
      <c r="Z776" s="192"/>
      <c r="AA776" s="192"/>
      <c r="AB776" s="192"/>
      <c r="AC776" s="192"/>
      <c r="AD776" s="192"/>
      <c r="AE776" s="192"/>
      <c r="AF776" s="192"/>
      <c r="AG776" s="192"/>
      <c r="AH776" s="192"/>
      <c r="AI776" s="192"/>
      <c r="AJ776" s="192"/>
      <c r="AK776" s="192"/>
      <c r="AL776" s="192"/>
      <c r="AM776" s="192"/>
      <c r="AN776" s="192"/>
      <c r="AO776" s="192"/>
      <c r="AP776" s="192"/>
      <c r="AQ776" s="192"/>
      <c r="AR776" s="192"/>
      <c r="AS776" s="192"/>
      <c r="AT776" s="192"/>
      <c r="AU776" s="192"/>
      <c r="AV776" s="192"/>
    </row>
    <row r="777">
      <c r="A777" s="192"/>
      <c r="B777" s="192"/>
      <c r="C777" s="192"/>
      <c r="D777" s="192"/>
      <c r="E777" s="192"/>
      <c r="F777" s="192"/>
      <c r="G777" s="192"/>
      <c r="H777" s="192"/>
      <c r="I777" s="192"/>
      <c r="J777" s="192"/>
      <c r="K777" s="192"/>
      <c r="L777" s="192"/>
      <c r="M777" s="192"/>
      <c r="N777" s="192"/>
      <c r="O777" s="192"/>
      <c r="P777" s="192"/>
      <c r="Q777" s="192"/>
      <c r="R777" s="192"/>
      <c r="S777" s="192"/>
      <c r="T777" s="192"/>
      <c r="U777" s="192"/>
      <c r="V777" s="192"/>
      <c r="W777" s="192"/>
      <c r="X777" s="192"/>
      <c r="Y777" s="192"/>
      <c r="Z777" s="192"/>
      <c r="AA777" s="192"/>
      <c r="AB777" s="192"/>
      <c r="AC777" s="192"/>
      <c r="AD777" s="192"/>
      <c r="AE777" s="192"/>
      <c r="AF777" s="192"/>
      <c r="AG777" s="192"/>
      <c r="AH777" s="192"/>
      <c r="AI777" s="192"/>
      <c r="AJ777" s="192"/>
      <c r="AK777" s="192"/>
      <c r="AL777" s="192"/>
      <c r="AM777" s="192"/>
      <c r="AN777" s="192"/>
      <c r="AO777" s="192"/>
      <c r="AP777" s="192"/>
      <c r="AQ777" s="192"/>
      <c r="AR777" s="192"/>
      <c r="AS777" s="192"/>
      <c r="AT777" s="192"/>
      <c r="AU777" s="192"/>
      <c r="AV777" s="192"/>
    </row>
    <row r="778">
      <c r="A778" s="192"/>
      <c r="B778" s="192"/>
      <c r="C778" s="192"/>
      <c r="D778" s="192"/>
      <c r="E778" s="192"/>
      <c r="F778" s="192"/>
      <c r="G778" s="192"/>
      <c r="H778" s="192"/>
      <c r="I778" s="192"/>
      <c r="J778" s="192"/>
      <c r="K778" s="192"/>
      <c r="L778" s="192"/>
      <c r="M778" s="192"/>
      <c r="N778" s="192"/>
      <c r="O778" s="192"/>
      <c r="P778" s="192"/>
      <c r="Q778" s="192"/>
      <c r="R778" s="192"/>
      <c r="S778" s="192"/>
      <c r="T778" s="192"/>
      <c r="U778" s="192"/>
      <c r="V778" s="192"/>
      <c r="W778" s="192"/>
      <c r="X778" s="192"/>
      <c r="Y778" s="192"/>
      <c r="Z778" s="192"/>
      <c r="AA778" s="192"/>
      <c r="AB778" s="192"/>
      <c r="AC778" s="192"/>
      <c r="AD778" s="192"/>
      <c r="AE778" s="192"/>
      <c r="AF778" s="192"/>
      <c r="AG778" s="192"/>
      <c r="AH778" s="192"/>
      <c r="AI778" s="192"/>
      <c r="AJ778" s="192"/>
      <c r="AK778" s="192"/>
      <c r="AL778" s="192"/>
      <c r="AM778" s="192"/>
      <c r="AN778" s="192"/>
      <c r="AO778" s="192"/>
      <c r="AP778" s="192"/>
      <c r="AQ778" s="192"/>
      <c r="AR778" s="192"/>
      <c r="AS778" s="192"/>
      <c r="AT778" s="192"/>
      <c r="AU778" s="192"/>
      <c r="AV778" s="192"/>
    </row>
    <row r="779">
      <c r="A779" s="192"/>
      <c r="B779" s="192"/>
      <c r="C779" s="192"/>
      <c r="D779" s="192"/>
      <c r="E779" s="192"/>
      <c r="F779" s="192"/>
      <c r="G779" s="192"/>
      <c r="H779" s="192"/>
      <c r="I779" s="192"/>
      <c r="J779" s="192"/>
      <c r="K779" s="192"/>
      <c r="L779" s="192"/>
      <c r="M779" s="192"/>
      <c r="N779" s="192"/>
      <c r="O779" s="192"/>
      <c r="P779" s="192"/>
      <c r="Q779" s="192"/>
      <c r="R779" s="192"/>
      <c r="S779" s="192"/>
      <c r="T779" s="192"/>
      <c r="U779" s="192"/>
      <c r="V779" s="192"/>
      <c r="W779" s="192"/>
      <c r="X779" s="192"/>
      <c r="Y779" s="192"/>
      <c r="Z779" s="192"/>
      <c r="AA779" s="192"/>
      <c r="AB779" s="192"/>
      <c r="AC779" s="192"/>
      <c r="AD779" s="192"/>
      <c r="AE779" s="192"/>
      <c r="AF779" s="192"/>
      <c r="AG779" s="192"/>
      <c r="AH779" s="192"/>
      <c r="AI779" s="192"/>
      <c r="AJ779" s="192"/>
      <c r="AK779" s="192"/>
      <c r="AL779" s="192"/>
      <c r="AM779" s="192"/>
      <c r="AN779" s="192"/>
      <c r="AO779" s="192"/>
      <c r="AP779" s="192"/>
      <c r="AQ779" s="192"/>
      <c r="AR779" s="192"/>
      <c r="AS779" s="192"/>
      <c r="AT779" s="192"/>
      <c r="AU779" s="192"/>
      <c r="AV779" s="192"/>
    </row>
    <row r="780">
      <c r="A780" s="192"/>
      <c r="B780" s="192"/>
      <c r="C780" s="192"/>
      <c r="D780" s="192"/>
      <c r="E780" s="192"/>
      <c r="F780" s="192"/>
      <c r="G780" s="192"/>
      <c r="H780" s="192"/>
      <c r="I780" s="192"/>
      <c r="J780" s="192"/>
      <c r="K780" s="192"/>
      <c r="L780" s="192"/>
      <c r="M780" s="192"/>
      <c r="N780" s="192"/>
      <c r="O780" s="192"/>
      <c r="P780" s="192"/>
      <c r="Q780" s="192"/>
      <c r="R780" s="192"/>
      <c r="S780" s="192"/>
      <c r="T780" s="192"/>
      <c r="U780" s="192"/>
      <c r="V780" s="192"/>
      <c r="W780" s="192"/>
      <c r="X780" s="192"/>
      <c r="Y780" s="192"/>
      <c r="Z780" s="192"/>
      <c r="AA780" s="192"/>
      <c r="AB780" s="192"/>
      <c r="AC780" s="192"/>
      <c r="AD780" s="192"/>
      <c r="AE780" s="192"/>
      <c r="AF780" s="192"/>
      <c r="AG780" s="192"/>
      <c r="AH780" s="192"/>
      <c r="AI780" s="192"/>
      <c r="AJ780" s="192"/>
      <c r="AK780" s="192"/>
      <c r="AL780" s="192"/>
      <c r="AM780" s="192"/>
      <c r="AN780" s="192"/>
      <c r="AO780" s="192"/>
      <c r="AP780" s="192"/>
      <c r="AQ780" s="192"/>
      <c r="AR780" s="192"/>
      <c r="AS780" s="192"/>
      <c r="AT780" s="192"/>
      <c r="AU780" s="192"/>
      <c r="AV780" s="192"/>
    </row>
    <row r="781">
      <c r="A781" s="192"/>
      <c r="B781" s="192"/>
      <c r="C781" s="192"/>
      <c r="D781" s="192"/>
      <c r="E781" s="192"/>
      <c r="F781" s="192"/>
      <c r="G781" s="192"/>
      <c r="H781" s="192"/>
      <c r="I781" s="192"/>
      <c r="J781" s="192"/>
      <c r="K781" s="192"/>
      <c r="L781" s="192"/>
      <c r="M781" s="192"/>
      <c r="N781" s="192"/>
      <c r="O781" s="192"/>
      <c r="P781" s="192"/>
      <c r="Q781" s="192"/>
      <c r="R781" s="192"/>
      <c r="S781" s="192"/>
      <c r="T781" s="192"/>
      <c r="U781" s="192"/>
      <c r="V781" s="192"/>
      <c r="W781" s="192"/>
      <c r="X781" s="192"/>
      <c r="Y781" s="192"/>
      <c r="Z781" s="192"/>
      <c r="AA781" s="192"/>
      <c r="AB781" s="192"/>
      <c r="AC781" s="192"/>
      <c r="AD781" s="192"/>
      <c r="AE781" s="192"/>
      <c r="AF781" s="192"/>
      <c r="AG781" s="192"/>
      <c r="AH781" s="192"/>
      <c r="AI781" s="192"/>
      <c r="AJ781" s="192"/>
      <c r="AK781" s="192"/>
      <c r="AL781" s="192"/>
      <c r="AM781" s="192"/>
      <c r="AN781" s="192"/>
      <c r="AO781" s="192"/>
      <c r="AP781" s="192"/>
      <c r="AQ781" s="192"/>
      <c r="AR781" s="192"/>
      <c r="AS781" s="192"/>
      <c r="AT781" s="192"/>
      <c r="AU781" s="192"/>
      <c r="AV781" s="192"/>
    </row>
    <row r="782">
      <c r="A782" s="192"/>
      <c r="B782" s="192"/>
      <c r="C782" s="192"/>
      <c r="D782" s="192"/>
      <c r="E782" s="192"/>
      <c r="F782" s="192"/>
      <c r="G782" s="192"/>
      <c r="H782" s="192"/>
      <c r="I782" s="192"/>
      <c r="J782" s="192"/>
      <c r="K782" s="192"/>
      <c r="L782" s="192"/>
      <c r="M782" s="192"/>
      <c r="N782" s="192"/>
      <c r="O782" s="192"/>
      <c r="P782" s="192"/>
      <c r="Q782" s="192"/>
      <c r="R782" s="192"/>
      <c r="S782" s="192"/>
      <c r="T782" s="192"/>
      <c r="U782" s="192"/>
      <c r="V782" s="192"/>
      <c r="W782" s="192"/>
      <c r="X782" s="192"/>
      <c r="Y782" s="192"/>
      <c r="Z782" s="192"/>
      <c r="AA782" s="192"/>
      <c r="AB782" s="192"/>
      <c r="AC782" s="192"/>
      <c r="AD782" s="192"/>
      <c r="AE782" s="192"/>
      <c r="AF782" s="192"/>
      <c r="AG782" s="192"/>
      <c r="AH782" s="192"/>
      <c r="AI782" s="192"/>
      <c r="AJ782" s="192"/>
      <c r="AK782" s="192"/>
      <c r="AL782" s="192"/>
      <c r="AM782" s="192"/>
      <c r="AN782" s="192"/>
      <c r="AO782" s="192"/>
      <c r="AP782" s="192"/>
      <c r="AQ782" s="192"/>
      <c r="AR782" s="192"/>
      <c r="AS782" s="192"/>
      <c r="AT782" s="192"/>
      <c r="AU782" s="192"/>
      <c r="AV782" s="192"/>
    </row>
    <row r="783">
      <c r="A783" s="192"/>
      <c r="B783" s="192"/>
      <c r="C783" s="192"/>
      <c r="D783" s="192"/>
      <c r="E783" s="192"/>
      <c r="F783" s="192"/>
      <c r="G783" s="192"/>
      <c r="H783" s="192"/>
      <c r="I783" s="192"/>
      <c r="J783" s="192"/>
      <c r="K783" s="192"/>
      <c r="L783" s="192"/>
      <c r="M783" s="192"/>
      <c r="N783" s="192"/>
      <c r="O783" s="192"/>
      <c r="P783" s="192"/>
      <c r="Q783" s="192"/>
      <c r="R783" s="192"/>
      <c r="S783" s="192"/>
      <c r="T783" s="192"/>
      <c r="U783" s="192"/>
      <c r="V783" s="192"/>
      <c r="W783" s="192"/>
      <c r="X783" s="192"/>
      <c r="Y783" s="192"/>
      <c r="Z783" s="192"/>
      <c r="AA783" s="192"/>
      <c r="AB783" s="192"/>
      <c r="AC783" s="192"/>
      <c r="AD783" s="192"/>
      <c r="AE783" s="192"/>
      <c r="AF783" s="192"/>
      <c r="AG783" s="192"/>
      <c r="AH783" s="192"/>
      <c r="AI783" s="192"/>
      <c r="AJ783" s="192"/>
      <c r="AK783" s="192"/>
      <c r="AL783" s="192"/>
      <c r="AM783" s="192"/>
      <c r="AN783" s="192"/>
      <c r="AO783" s="192"/>
      <c r="AP783" s="192"/>
      <c r="AQ783" s="192"/>
      <c r="AR783" s="192"/>
      <c r="AS783" s="192"/>
      <c r="AT783" s="192"/>
      <c r="AU783" s="192"/>
      <c r="AV783" s="192"/>
    </row>
    <row r="784">
      <c r="A784" s="192"/>
      <c r="B784" s="192"/>
      <c r="C784" s="192"/>
      <c r="D784" s="192"/>
      <c r="E784" s="192"/>
      <c r="F784" s="192"/>
      <c r="G784" s="192"/>
      <c r="H784" s="192"/>
      <c r="I784" s="192"/>
      <c r="J784" s="192"/>
      <c r="K784" s="192"/>
      <c r="L784" s="192"/>
      <c r="M784" s="192"/>
      <c r="N784" s="192"/>
      <c r="O784" s="192"/>
      <c r="P784" s="192"/>
      <c r="Q784" s="192"/>
      <c r="R784" s="192"/>
      <c r="S784" s="192"/>
      <c r="T784" s="192"/>
      <c r="U784" s="192"/>
      <c r="V784" s="192"/>
      <c r="W784" s="192"/>
      <c r="X784" s="192"/>
      <c r="Y784" s="192"/>
      <c r="Z784" s="192"/>
      <c r="AA784" s="192"/>
      <c r="AB784" s="192"/>
      <c r="AC784" s="192"/>
      <c r="AD784" s="192"/>
      <c r="AE784" s="192"/>
      <c r="AF784" s="192"/>
      <c r="AG784" s="192"/>
      <c r="AH784" s="192"/>
      <c r="AI784" s="192"/>
      <c r="AJ784" s="192"/>
      <c r="AK784" s="192"/>
      <c r="AL784" s="192"/>
      <c r="AM784" s="192"/>
      <c r="AN784" s="192"/>
      <c r="AO784" s="192"/>
      <c r="AP784" s="192"/>
      <c r="AQ784" s="192"/>
      <c r="AR784" s="192"/>
      <c r="AS784" s="192"/>
      <c r="AT784" s="192"/>
      <c r="AU784" s="192"/>
      <c r="AV784" s="192"/>
    </row>
    <row r="785">
      <c r="A785" s="192"/>
      <c r="B785" s="192"/>
      <c r="C785" s="192"/>
      <c r="D785" s="192"/>
      <c r="E785" s="192"/>
      <c r="F785" s="192"/>
      <c r="G785" s="192"/>
      <c r="H785" s="192"/>
      <c r="I785" s="192"/>
      <c r="J785" s="192"/>
      <c r="K785" s="192"/>
      <c r="L785" s="192"/>
      <c r="M785" s="192"/>
      <c r="N785" s="192"/>
      <c r="O785" s="192"/>
      <c r="P785" s="192"/>
      <c r="Q785" s="192"/>
      <c r="R785" s="192"/>
      <c r="S785" s="192"/>
      <c r="T785" s="192"/>
      <c r="U785" s="192"/>
      <c r="V785" s="192"/>
      <c r="W785" s="192"/>
      <c r="X785" s="192"/>
      <c r="Y785" s="192"/>
      <c r="Z785" s="192"/>
      <c r="AA785" s="192"/>
      <c r="AB785" s="192"/>
      <c r="AC785" s="192"/>
      <c r="AD785" s="192"/>
      <c r="AE785" s="192"/>
      <c r="AF785" s="192"/>
      <c r="AG785" s="192"/>
      <c r="AH785" s="192"/>
      <c r="AI785" s="192"/>
      <c r="AJ785" s="192"/>
      <c r="AK785" s="192"/>
      <c r="AL785" s="192"/>
      <c r="AM785" s="192"/>
      <c r="AN785" s="192"/>
      <c r="AO785" s="192"/>
      <c r="AP785" s="192"/>
      <c r="AQ785" s="192"/>
      <c r="AR785" s="192"/>
      <c r="AS785" s="192"/>
      <c r="AT785" s="192"/>
      <c r="AU785" s="192"/>
      <c r="AV785" s="192"/>
    </row>
    <row r="786">
      <c r="A786" s="192"/>
      <c r="B786" s="192"/>
      <c r="C786" s="192"/>
      <c r="D786" s="192"/>
      <c r="E786" s="192"/>
      <c r="F786" s="192"/>
      <c r="G786" s="192"/>
      <c r="H786" s="192"/>
      <c r="I786" s="192"/>
      <c r="J786" s="192"/>
      <c r="K786" s="192"/>
      <c r="L786" s="192"/>
      <c r="M786" s="192"/>
      <c r="N786" s="192"/>
      <c r="O786" s="192"/>
      <c r="P786" s="192"/>
      <c r="Q786" s="192"/>
      <c r="R786" s="192"/>
      <c r="S786" s="192"/>
      <c r="T786" s="192"/>
      <c r="U786" s="192"/>
      <c r="V786" s="192"/>
      <c r="W786" s="192"/>
      <c r="X786" s="192"/>
      <c r="Y786" s="192"/>
      <c r="Z786" s="192"/>
      <c r="AA786" s="192"/>
      <c r="AB786" s="192"/>
      <c r="AC786" s="192"/>
      <c r="AD786" s="192"/>
      <c r="AE786" s="192"/>
      <c r="AF786" s="192"/>
      <c r="AG786" s="192"/>
      <c r="AH786" s="192"/>
      <c r="AI786" s="192"/>
      <c r="AJ786" s="192"/>
      <c r="AK786" s="192"/>
      <c r="AL786" s="192"/>
      <c r="AM786" s="192"/>
      <c r="AN786" s="192"/>
      <c r="AO786" s="192"/>
      <c r="AP786" s="192"/>
      <c r="AQ786" s="192"/>
      <c r="AR786" s="192"/>
      <c r="AS786" s="192"/>
      <c r="AT786" s="192"/>
      <c r="AU786" s="192"/>
      <c r="AV786" s="192"/>
    </row>
    <row r="787">
      <c r="A787" s="192"/>
      <c r="B787" s="192"/>
      <c r="C787" s="192"/>
      <c r="D787" s="192"/>
      <c r="E787" s="192"/>
      <c r="F787" s="192"/>
      <c r="G787" s="192"/>
      <c r="H787" s="192"/>
      <c r="I787" s="192"/>
      <c r="J787" s="192"/>
      <c r="K787" s="192"/>
      <c r="L787" s="192"/>
      <c r="M787" s="192"/>
      <c r="N787" s="192"/>
      <c r="O787" s="192"/>
      <c r="P787" s="192"/>
      <c r="Q787" s="192"/>
      <c r="R787" s="192"/>
      <c r="S787" s="192"/>
      <c r="T787" s="192"/>
      <c r="U787" s="192"/>
      <c r="V787" s="192"/>
      <c r="W787" s="192"/>
      <c r="X787" s="192"/>
      <c r="Y787" s="192"/>
      <c r="Z787" s="192"/>
      <c r="AA787" s="192"/>
      <c r="AB787" s="192"/>
      <c r="AC787" s="192"/>
      <c r="AD787" s="192"/>
      <c r="AE787" s="192"/>
      <c r="AF787" s="192"/>
      <c r="AG787" s="192"/>
      <c r="AH787" s="192"/>
      <c r="AI787" s="192"/>
      <c r="AJ787" s="192"/>
      <c r="AK787" s="192"/>
      <c r="AL787" s="192"/>
      <c r="AM787" s="192"/>
      <c r="AN787" s="192"/>
      <c r="AO787" s="192"/>
      <c r="AP787" s="192"/>
      <c r="AQ787" s="192"/>
      <c r="AR787" s="192"/>
      <c r="AS787" s="192"/>
      <c r="AT787" s="192"/>
      <c r="AU787" s="192"/>
      <c r="AV787" s="192"/>
    </row>
    <row r="788">
      <c r="A788" s="192"/>
      <c r="B788" s="192"/>
      <c r="C788" s="192"/>
      <c r="D788" s="192"/>
      <c r="E788" s="192"/>
      <c r="F788" s="192"/>
      <c r="G788" s="192"/>
      <c r="H788" s="192"/>
      <c r="I788" s="192"/>
      <c r="J788" s="192"/>
      <c r="K788" s="192"/>
      <c r="L788" s="192"/>
      <c r="M788" s="192"/>
      <c r="N788" s="192"/>
      <c r="O788" s="192"/>
      <c r="P788" s="192"/>
      <c r="Q788" s="192"/>
      <c r="R788" s="192"/>
      <c r="S788" s="192"/>
      <c r="T788" s="192"/>
      <c r="U788" s="192"/>
      <c r="V788" s="192"/>
      <c r="W788" s="192"/>
      <c r="X788" s="192"/>
      <c r="Y788" s="192"/>
      <c r="Z788" s="192"/>
      <c r="AA788" s="192"/>
      <c r="AB788" s="192"/>
      <c r="AC788" s="192"/>
      <c r="AD788" s="192"/>
      <c r="AE788" s="192"/>
      <c r="AF788" s="192"/>
      <c r="AG788" s="192"/>
      <c r="AH788" s="192"/>
      <c r="AI788" s="192"/>
      <c r="AJ788" s="192"/>
      <c r="AK788" s="192"/>
      <c r="AL788" s="192"/>
      <c r="AM788" s="192"/>
      <c r="AN788" s="192"/>
      <c r="AO788" s="192"/>
      <c r="AP788" s="192"/>
      <c r="AQ788" s="192"/>
      <c r="AR788" s="192"/>
      <c r="AS788" s="192"/>
      <c r="AT788" s="192"/>
      <c r="AU788" s="192"/>
      <c r="AV788" s="192"/>
    </row>
    <row r="789">
      <c r="A789" s="192"/>
      <c r="B789" s="192"/>
      <c r="C789" s="192"/>
      <c r="D789" s="192"/>
      <c r="E789" s="192"/>
      <c r="F789" s="192"/>
      <c r="G789" s="192"/>
      <c r="H789" s="192"/>
      <c r="I789" s="192"/>
      <c r="J789" s="192"/>
      <c r="K789" s="192"/>
      <c r="L789" s="192"/>
      <c r="M789" s="192"/>
      <c r="N789" s="192"/>
      <c r="O789" s="192"/>
      <c r="P789" s="192"/>
      <c r="Q789" s="192"/>
      <c r="R789" s="192"/>
      <c r="S789" s="192"/>
      <c r="T789" s="192"/>
      <c r="U789" s="192"/>
      <c r="V789" s="192"/>
      <c r="W789" s="192"/>
      <c r="X789" s="192"/>
      <c r="Y789" s="192"/>
      <c r="Z789" s="192"/>
      <c r="AA789" s="192"/>
      <c r="AB789" s="192"/>
      <c r="AC789" s="192"/>
      <c r="AD789" s="192"/>
      <c r="AE789" s="192"/>
      <c r="AF789" s="192"/>
      <c r="AG789" s="192"/>
      <c r="AH789" s="192"/>
      <c r="AI789" s="192"/>
      <c r="AJ789" s="192"/>
      <c r="AK789" s="192"/>
      <c r="AL789" s="192"/>
      <c r="AM789" s="192"/>
      <c r="AN789" s="192"/>
      <c r="AO789" s="192"/>
      <c r="AP789" s="192"/>
      <c r="AQ789" s="192"/>
      <c r="AR789" s="192"/>
      <c r="AS789" s="192"/>
      <c r="AT789" s="192"/>
      <c r="AU789" s="192"/>
      <c r="AV789" s="192"/>
    </row>
    <row r="790">
      <c r="A790" s="192"/>
      <c r="B790" s="192"/>
      <c r="C790" s="192"/>
      <c r="D790" s="192"/>
      <c r="E790" s="192"/>
      <c r="F790" s="192"/>
      <c r="G790" s="192"/>
      <c r="H790" s="192"/>
      <c r="I790" s="192"/>
      <c r="J790" s="192"/>
      <c r="K790" s="192"/>
      <c r="L790" s="192"/>
      <c r="M790" s="192"/>
      <c r="N790" s="192"/>
      <c r="O790" s="192"/>
      <c r="P790" s="192"/>
      <c r="Q790" s="192"/>
      <c r="R790" s="192"/>
      <c r="S790" s="192"/>
      <c r="T790" s="192"/>
      <c r="U790" s="192"/>
      <c r="V790" s="192"/>
      <c r="W790" s="192"/>
      <c r="X790" s="192"/>
      <c r="Y790" s="192"/>
      <c r="Z790" s="192"/>
      <c r="AA790" s="192"/>
      <c r="AB790" s="192"/>
      <c r="AC790" s="192"/>
      <c r="AD790" s="192"/>
      <c r="AE790" s="192"/>
      <c r="AF790" s="192"/>
      <c r="AG790" s="192"/>
      <c r="AH790" s="192"/>
      <c r="AI790" s="192"/>
      <c r="AJ790" s="192"/>
      <c r="AK790" s="192"/>
      <c r="AL790" s="192"/>
      <c r="AM790" s="192"/>
      <c r="AN790" s="192"/>
      <c r="AO790" s="192"/>
      <c r="AP790" s="192"/>
      <c r="AQ790" s="192"/>
      <c r="AR790" s="192"/>
      <c r="AS790" s="192"/>
      <c r="AT790" s="192"/>
      <c r="AU790" s="192"/>
      <c r="AV790" s="192"/>
    </row>
    <row r="791">
      <c r="A791" s="192"/>
      <c r="B791" s="192"/>
      <c r="C791" s="192"/>
      <c r="D791" s="192"/>
      <c r="E791" s="192"/>
      <c r="F791" s="192"/>
      <c r="G791" s="192"/>
      <c r="H791" s="192"/>
      <c r="I791" s="192"/>
      <c r="J791" s="192"/>
      <c r="K791" s="192"/>
      <c r="L791" s="192"/>
      <c r="M791" s="192"/>
      <c r="N791" s="192"/>
      <c r="O791" s="192"/>
      <c r="P791" s="192"/>
      <c r="Q791" s="192"/>
      <c r="R791" s="192"/>
      <c r="S791" s="192"/>
      <c r="T791" s="192"/>
      <c r="U791" s="192"/>
      <c r="V791" s="192"/>
      <c r="W791" s="192"/>
      <c r="X791" s="192"/>
      <c r="Y791" s="192"/>
      <c r="Z791" s="192"/>
      <c r="AA791" s="192"/>
      <c r="AB791" s="192"/>
      <c r="AC791" s="192"/>
      <c r="AD791" s="192"/>
      <c r="AE791" s="192"/>
      <c r="AF791" s="192"/>
      <c r="AG791" s="192"/>
      <c r="AH791" s="192"/>
      <c r="AI791" s="192"/>
      <c r="AJ791" s="192"/>
      <c r="AK791" s="192"/>
      <c r="AL791" s="192"/>
      <c r="AM791" s="192"/>
      <c r="AN791" s="192"/>
      <c r="AO791" s="192"/>
      <c r="AP791" s="192"/>
      <c r="AQ791" s="192"/>
      <c r="AR791" s="192"/>
      <c r="AS791" s="192"/>
      <c r="AT791" s="192"/>
      <c r="AU791" s="192"/>
      <c r="AV791" s="192"/>
    </row>
    <row r="792">
      <c r="A792" s="192"/>
      <c r="B792" s="192"/>
      <c r="C792" s="192"/>
      <c r="D792" s="192"/>
      <c r="E792" s="192"/>
      <c r="F792" s="192"/>
      <c r="G792" s="192"/>
      <c r="H792" s="192"/>
      <c r="I792" s="192"/>
      <c r="J792" s="192"/>
      <c r="K792" s="192"/>
      <c r="L792" s="192"/>
      <c r="M792" s="192"/>
      <c r="N792" s="192"/>
      <c r="O792" s="192"/>
      <c r="P792" s="192"/>
      <c r="Q792" s="192"/>
      <c r="R792" s="192"/>
      <c r="S792" s="192"/>
      <c r="T792" s="192"/>
      <c r="U792" s="192"/>
      <c r="V792" s="192"/>
      <c r="W792" s="192"/>
      <c r="X792" s="192"/>
      <c r="Y792" s="192"/>
      <c r="Z792" s="192"/>
      <c r="AA792" s="192"/>
      <c r="AB792" s="192"/>
      <c r="AC792" s="192"/>
      <c r="AD792" s="192"/>
      <c r="AE792" s="192"/>
      <c r="AF792" s="192"/>
      <c r="AG792" s="192"/>
      <c r="AH792" s="192"/>
      <c r="AI792" s="192"/>
      <c r="AJ792" s="192"/>
      <c r="AK792" s="192"/>
      <c r="AL792" s="192"/>
      <c r="AM792" s="192"/>
      <c r="AN792" s="192"/>
      <c r="AO792" s="192"/>
      <c r="AP792" s="192"/>
      <c r="AQ792" s="192"/>
      <c r="AR792" s="192"/>
      <c r="AS792" s="192"/>
      <c r="AT792" s="192"/>
      <c r="AU792" s="192"/>
      <c r="AV792" s="192"/>
    </row>
    <row r="793">
      <c r="A793" s="192"/>
      <c r="B793" s="192"/>
      <c r="C793" s="192"/>
      <c r="D793" s="192"/>
      <c r="E793" s="192"/>
      <c r="F793" s="192"/>
      <c r="G793" s="192"/>
      <c r="H793" s="192"/>
      <c r="I793" s="192"/>
      <c r="J793" s="192"/>
      <c r="K793" s="192"/>
      <c r="L793" s="192"/>
      <c r="M793" s="192"/>
      <c r="N793" s="192"/>
      <c r="O793" s="192"/>
      <c r="P793" s="192"/>
      <c r="Q793" s="192"/>
      <c r="R793" s="192"/>
      <c r="S793" s="192"/>
      <c r="T793" s="192"/>
      <c r="U793" s="192"/>
      <c r="V793" s="192"/>
      <c r="W793" s="192"/>
      <c r="X793" s="192"/>
      <c r="Y793" s="192"/>
      <c r="Z793" s="192"/>
      <c r="AA793" s="192"/>
      <c r="AB793" s="192"/>
      <c r="AC793" s="192"/>
      <c r="AD793" s="192"/>
      <c r="AE793" s="192"/>
      <c r="AF793" s="192"/>
      <c r="AG793" s="192"/>
      <c r="AH793" s="192"/>
      <c r="AI793" s="192"/>
      <c r="AJ793" s="192"/>
      <c r="AK793" s="192"/>
      <c r="AL793" s="192"/>
      <c r="AM793" s="192"/>
      <c r="AN793" s="192"/>
      <c r="AO793" s="192"/>
      <c r="AP793" s="192"/>
      <c r="AQ793" s="192"/>
      <c r="AR793" s="192"/>
      <c r="AS793" s="192"/>
      <c r="AT793" s="192"/>
      <c r="AU793" s="192"/>
      <c r="AV793" s="192"/>
    </row>
    <row r="794">
      <c r="A794" s="192"/>
      <c r="B794" s="192"/>
      <c r="C794" s="192"/>
      <c r="D794" s="192"/>
      <c r="E794" s="192"/>
      <c r="F794" s="192"/>
      <c r="G794" s="192"/>
      <c r="H794" s="192"/>
      <c r="I794" s="192"/>
      <c r="J794" s="192"/>
      <c r="K794" s="192"/>
      <c r="L794" s="192"/>
      <c r="M794" s="192"/>
      <c r="N794" s="192"/>
      <c r="O794" s="192"/>
      <c r="P794" s="192"/>
      <c r="Q794" s="192"/>
      <c r="R794" s="192"/>
      <c r="S794" s="192"/>
      <c r="T794" s="192"/>
      <c r="U794" s="192"/>
      <c r="V794" s="192"/>
      <c r="W794" s="192"/>
      <c r="X794" s="192"/>
      <c r="Y794" s="192"/>
      <c r="Z794" s="192"/>
      <c r="AA794" s="192"/>
      <c r="AB794" s="192"/>
      <c r="AC794" s="192"/>
      <c r="AD794" s="192"/>
      <c r="AE794" s="192"/>
      <c r="AF794" s="192"/>
      <c r="AG794" s="192"/>
      <c r="AH794" s="192"/>
      <c r="AI794" s="192"/>
      <c r="AJ794" s="192"/>
      <c r="AK794" s="192"/>
      <c r="AL794" s="192"/>
      <c r="AM794" s="192"/>
      <c r="AN794" s="192"/>
      <c r="AO794" s="192"/>
      <c r="AP794" s="192"/>
      <c r="AQ794" s="192"/>
      <c r="AR794" s="192"/>
      <c r="AS794" s="192"/>
      <c r="AT794" s="192"/>
      <c r="AU794" s="192"/>
      <c r="AV794" s="192"/>
    </row>
    <row r="795">
      <c r="A795" s="192"/>
      <c r="B795" s="192"/>
      <c r="C795" s="192"/>
      <c r="D795" s="192"/>
      <c r="E795" s="192"/>
      <c r="F795" s="192"/>
      <c r="G795" s="192"/>
      <c r="H795" s="192"/>
      <c r="I795" s="192"/>
      <c r="J795" s="192"/>
      <c r="K795" s="192"/>
      <c r="L795" s="192"/>
      <c r="M795" s="192"/>
      <c r="N795" s="192"/>
      <c r="O795" s="192"/>
      <c r="P795" s="192"/>
      <c r="Q795" s="192"/>
      <c r="R795" s="192"/>
      <c r="S795" s="192"/>
      <c r="T795" s="192"/>
      <c r="U795" s="192"/>
      <c r="V795" s="192"/>
      <c r="W795" s="192"/>
      <c r="X795" s="192"/>
      <c r="Y795" s="192"/>
      <c r="Z795" s="192"/>
      <c r="AA795" s="192"/>
      <c r="AB795" s="192"/>
      <c r="AC795" s="192"/>
      <c r="AD795" s="192"/>
      <c r="AE795" s="192"/>
      <c r="AF795" s="192"/>
      <c r="AG795" s="192"/>
      <c r="AH795" s="192"/>
      <c r="AI795" s="192"/>
      <c r="AJ795" s="192"/>
      <c r="AK795" s="192"/>
      <c r="AL795" s="192"/>
      <c r="AM795" s="192"/>
      <c r="AN795" s="192"/>
      <c r="AO795" s="192"/>
      <c r="AP795" s="192"/>
      <c r="AQ795" s="192"/>
      <c r="AR795" s="192"/>
      <c r="AS795" s="192"/>
      <c r="AT795" s="192"/>
      <c r="AU795" s="192"/>
      <c r="AV795" s="192"/>
    </row>
    <row r="796">
      <c r="A796" s="192"/>
      <c r="B796" s="192"/>
      <c r="C796" s="192"/>
      <c r="D796" s="192"/>
      <c r="E796" s="192"/>
      <c r="F796" s="192"/>
      <c r="G796" s="192"/>
      <c r="H796" s="192"/>
      <c r="I796" s="192"/>
      <c r="J796" s="192"/>
      <c r="K796" s="192"/>
      <c r="L796" s="192"/>
      <c r="M796" s="192"/>
      <c r="N796" s="192"/>
      <c r="O796" s="192"/>
      <c r="P796" s="192"/>
      <c r="Q796" s="192"/>
      <c r="R796" s="192"/>
      <c r="S796" s="192"/>
      <c r="T796" s="192"/>
      <c r="U796" s="192"/>
      <c r="V796" s="192"/>
      <c r="W796" s="192"/>
      <c r="X796" s="192"/>
      <c r="Y796" s="192"/>
      <c r="Z796" s="192"/>
      <c r="AA796" s="192"/>
      <c r="AB796" s="192"/>
      <c r="AC796" s="192"/>
      <c r="AD796" s="192"/>
      <c r="AE796" s="192"/>
      <c r="AF796" s="192"/>
      <c r="AG796" s="192"/>
      <c r="AH796" s="192"/>
      <c r="AI796" s="192"/>
      <c r="AJ796" s="192"/>
      <c r="AK796" s="192"/>
      <c r="AL796" s="192"/>
      <c r="AM796" s="192"/>
      <c r="AN796" s="192"/>
      <c r="AO796" s="192"/>
      <c r="AP796" s="192"/>
      <c r="AQ796" s="192"/>
      <c r="AR796" s="192"/>
      <c r="AS796" s="192"/>
      <c r="AT796" s="192"/>
      <c r="AU796" s="192"/>
      <c r="AV796" s="192"/>
    </row>
    <row r="797">
      <c r="A797" s="192"/>
      <c r="B797" s="192"/>
      <c r="C797" s="192"/>
      <c r="D797" s="192"/>
      <c r="E797" s="192"/>
      <c r="F797" s="192"/>
      <c r="G797" s="192"/>
      <c r="H797" s="192"/>
      <c r="I797" s="192"/>
      <c r="J797" s="192"/>
      <c r="K797" s="192"/>
      <c r="L797" s="192"/>
      <c r="M797" s="192"/>
      <c r="N797" s="192"/>
      <c r="O797" s="192"/>
      <c r="P797" s="192"/>
      <c r="Q797" s="192"/>
      <c r="R797" s="192"/>
      <c r="S797" s="192"/>
      <c r="T797" s="192"/>
      <c r="U797" s="192"/>
      <c r="V797" s="192"/>
      <c r="W797" s="192"/>
      <c r="X797" s="192"/>
      <c r="Y797" s="192"/>
      <c r="Z797" s="192"/>
      <c r="AA797" s="192"/>
      <c r="AB797" s="192"/>
      <c r="AC797" s="192"/>
      <c r="AD797" s="192"/>
      <c r="AE797" s="192"/>
      <c r="AF797" s="192"/>
      <c r="AG797" s="192"/>
      <c r="AH797" s="192"/>
      <c r="AI797" s="192"/>
      <c r="AJ797" s="192"/>
      <c r="AK797" s="192"/>
      <c r="AL797" s="192"/>
      <c r="AM797" s="192"/>
      <c r="AN797" s="192"/>
      <c r="AO797" s="192"/>
      <c r="AP797" s="192"/>
      <c r="AQ797" s="192"/>
      <c r="AR797" s="192"/>
      <c r="AS797" s="192"/>
      <c r="AT797" s="192"/>
      <c r="AU797" s="192"/>
      <c r="AV797" s="192"/>
    </row>
    <row r="798">
      <c r="A798" s="192"/>
      <c r="B798" s="192"/>
      <c r="C798" s="192"/>
      <c r="D798" s="192"/>
      <c r="E798" s="192"/>
      <c r="F798" s="192"/>
      <c r="G798" s="192"/>
      <c r="H798" s="192"/>
      <c r="I798" s="192"/>
      <c r="J798" s="192"/>
      <c r="K798" s="192"/>
      <c r="L798" s="192"/>
      <c r="M798" s="192"/>
      <c r="N798" s="192"/>
      <c r="O798" s="192"/>
      <c r="P798" s="192"/>
      <c r="Q798" s="192"/>
      <c r="R798" s="192"/>
      <c r="S798" s="192"/>
      <c r="T798" s="192"/>
      <c r="U798" s="192"/>
      <c r="V798" s="192"/>
      <c r="W798" s="192"/>
      <c r="X798" s="192"/>
      <c r="Y798" s="192"/>
      <c r="Z798" s="192"/>
      <c r="AA798" s="192"/>
      <c r="AB798" s="192"/>
      <c r="AC798" s="192"/>
      <c r="AD798" s="192"/>
      <c r="AE798" s="192"/>
      <c r="AF798" s="192"/>
      <c r="AG798" s="192"/>
      <c r="AH798" s="192"/>
      <c r="AI798" s="192"/>
      <c r="AJ798" s="192"/>
      <c r="AK798" s="192"/>
      <c r="AL798" s="192"/>
      <c r="AM798" s="192"/>
      <c r="AN798" s="192"/>
      <c r="AO798" s="192"/>
      <c r="AP798" s="192"/>
      <c r="AQ798" s="192"/>
      <c r="AR798" s="192"/>
      <c r="AS798" s="192"/>
      <c r="AT798" s="192"/>
      <c r="AU798" s="192"/>
      <c r="AV798" s="192"/>
    </row>
    <row r="799">
      <c r="A799" s="192"/>
      <c r="B799" s="192"/>
      <c r="C799" s="192"/>
      <c r="D799" s="192"/>
      <c r="E799" s="192"/>
      <c r="F799" s="192"/>
      <c r="G799" s="192"/>
      <c r="H799" s="192"/>
      <c r="I799" s="192"/>
      <c r="J799" s="192"/>
      <c r="K799" s="192"/>
      <c r="L799" s="192"/>
      <c r="M799" s="192"/>
      <c r="N799" s="192"/>
      <c r="O799" s="192"/>
      <c r="P799" s="192"/>
      <c r="Q799" s="192"/>
      <c r="R799" s="192"/>
      <c r="S799" s="192"/>
      <c r="T799" s="192"/>
      <c r="U799" s="192"/>
      <c r="V799" s="192"/>
      <c r="W799" s="192"/>
      <c r="X799" s="192"/>
      <c r="Y799" s="192"/>
      <c r="Z799" s="192"/>
      <c r="AA799" s="192"/>
      <c r="AB799" s="192"/>
      <c r="AC799" s="192"/>
      <c r="AD799" s="192"/>
      <c r="AE799" s="192"/>
      <c r="AF799" s="192"/>
      <c r="AG799" s="192"/>
      <c r="AH799" s="192"/>
      <c r="AI799" s="192"/>
      <c r="AJ799" s="192"/>
      <c r="AK799" s="192"/>
      <c r="AL799" s="192"/>
      <c r="AM799" s="192"/>
      <c r="AN799" s="192"/>
      <c r="AO799" s="192"/>
      <c r="AP799" s="192"/>
      <c r="AQ799" s="192"/>
      <c r="AR799" s="192"/>
      <c r="AS799" s="192"/>
      <c r="AT799" s="192"/>
      <c r="AU799" s="192"/>
      <c r="AV799" s="192"/>
    </row>
    <row r="800">
      <c r="A800" s="192"/>
      <c r="B800" s="192"/>
      <c r="C800" s="192"/>
      <c r="D800" s="192"/>
      <c r="E800" s="192"/>
      <c r="F800" s="192"/>
      <c r="G800" s="192"/>
      <c r="H800" s="192"/>
      <c r="I800" s="192"/>
      <c r="J800" s="192"/>
      <c r="K800" s="192"/>
      <c r="L800" s="192"/>
      <c r="M800" s="192"/>
      <c r="N800" s="192"/>
      <c r="O800" s="192"/>
      <c r="P800" s="192"/>
      <c r="Q800" s="192"/>
      <c r="R800" s="192"/>
      <c r="S800" s="192"/>
      <c r="T800" s="192"/>
      <c r="U800" s="192"/>
      <c r="V800" s="192"/>
      <c r="W800" s="192"/>
      <c r="X800" s="192"/>
      <c r="Y800" s="192"/>
      <c r="Z800" s="192"/>
      <c r="AA800" s="192"/>
      <c r="AB800" s="192"/>
      <c r="AC800" s="192"/>
      <c r="AD800" s="192"/>
      <c r="AE800" s="192"/>
      <c r="AF800" s="192"/>
      <c r="AG800" s="192"/>
      <c r="AH800" s="192"/>
      <c r="AI800" s="192"/>
      <c r="AJ800" s="192"/>
      <c r="AK800" s="192"/>
      <c r="AL800" s="192"/>
      <c r="AM800" s="192"/>
      <c r="AN800" s="192"/>
      <c r="AO800" s="192"/>
      <c r="AP800" s="192"/>
      <c r="AQ800" s="192"/>
      <c r="AR800" s="192"/>
      <c r="AS800" s="192"/>
      <c r="AT800" s="192"/>
      <c r="AU800" s="192"/>
      <c r="AV800" s="192"/>
    </row>
    <row r="801">
      <c r="A801" s="192"/>
      <c r="B801" s="192"/>
      <c r="C801" s="192"/>
      <c r="D801" s="192"/>
      <c r="E801" s="192"/>
      <c r="F801" s="192"/>
      <c r="G801" s="192"/>
      <c r="H801" s="192"/>
      <c r="I801" s="192"/>
      <c r="J801" s="192"/>
      <c r="K801" s="192"/>
      <c r="L801" s="192"/>
      <c r="M801" s="192"/>
      <c r="N801" s="192"/>
      <c r="O801" s="192"/>
      <c r="P801" s="192"/>
      <c r="Q801" s="192"/>
      <c r="R801" s="192"/>
      <c r="S801" s="192"/>
      <c r="T801" s="192"/>
      <c r="U801" s="192"/>
      <c r="V801" s="192"/>
      <c r="W801" s="192"/>
      <c r="X801" s="192"/>
      <c r="Y801" s="192"/>
      <c r="Z801" s="192"/>
      <c r="AA801" s="192"/>
      <c r="AB801" s="192"/>
      <c r="AC801" s="192"/>
      <c r="AD801" s="192"/>
      <c r="AE801" s="192"/>
      <c r="AF801" s="192"/>
      <c r="AG801" s="192"/>
      <c r="AH801" s="192"/>
      <c r="AI801" s="192"/>
      <c r="AJ801" s="192"/>
      <c r="AK801" s="192"/>
      <c r="AL801" s="192"/>
      <c r="AM801" s="192"/>
      <c r="AN801" s="192"/>
      <c r="AO801" s="192"/>
      <c r="AP801" s="192"/>
      <c r="AQ801" s="192"/>
      <c r="AR801" s="192"/>
      <c r="AS801" s="192"/>
      <c r="AT801" s="192"/>
      <c r="AU801" s="192"/>
      <c r="AV801" s="192"/>
    </row>
    <row r="802">
      <c r="A802" s="192"/>
      <c r="B802" s="192"/>
      <c r="C802" s="192"/>
      <c r="D802" s="192"/>
      <c r="E802" s="192"/>
      <c r="F802" s="192"/>
      <c r="G802" s="192"/>
      <c r="H802" s="192"/>
      <c r="I802" s="192"/>
      <c r="J802" s="192"/>
      <c r="K802" s="192"/>
      <c r="L802" s="192"/>
      <c r="M802" s="192"/>
      <c r="N802" s="192"/>
      <c r="O802" s="192"/>
      <c r="P802" s="192"/>
      <c r="Q802" s="192"/>
      <c r="R802" s="192"/>
      <c r="S802" s="192"/>
      <c r="T802" s="192"/>
      <c r="U802" s="192"/>
      <c r="V802" s="192"/>
      <c r="W802" s="192"/>
      <c r="X802" s="192"/>
      <c r="Y802" s="192"/>
      <c r="Z802" s="192"/>
      <c r="AA802" s="192"/>
      <c r="AB802" s="192"/>
      <c r="AC802" s="192"/>
      <c r="AD802" s="192"/>
      <c r="AE802" s="192"/>
      <c r="AF802" s="192"/>
      <c r="AG802" s="192"/>
      <c r="AH802" s="192"/>
      <c r="AI802" s="192"/>
      <c r="AJ802" s="192"/>
      <c r="AK802" s="192"/>
      <c r="AL802" s="192"/>
      <c r="AM802" s="192"/>
      <c r="AN802" s="192"/>
      <c r="AO802" s="192"/>
      <c r="AP802" s="192"/>
      <c r="AQ802" s="192"/>
      <c r="AR802" s="192"/>
      <c r="AS802" s="192"/>
      <c r="AT802" s="192"/>
      <c r="AU802" s="192"/>
      <c r="AV802" s="192"/>
    </row>
    <row r="803">
      <c r="A803" s="192"/>
      <c r="B803" s="192"/>
      <c r="C803" s="192"/>
      <c r="D803" s="192"/>
      <c r="E803" s="192"/>
      <c r="F803" s="192"/>
      <c r="G803" s="192"/>
      <c r="H803" s="192"/>
      <c r="I803" s="192"/>
      <c r="J803" s="192"/>
      <c r="K803" s="192"/>
      <c r="L803" s="192"/>
      <c r="M803" s="192"/>
      <c r="N803" s="192"/>
      <c r="O803" s="192"/>
      <c r="P803" s="192"/>
      <c r="Q803" s="192"/>
      <c r="R803" s="192"/>
      <c r="S803" s="192"/>
      <c r="T803" s="192"/>
      <c r="U803" s="192"/>
      <c r="V803" s="192"/>
      <c r="W803" s="192"/>
      <c r="X803" s="192"/>
      <c r="Y803" s="192"/>
      <c r="Z803" s="192"/>
      <c r="AA803" s="192"/>
      <c r="AB803" s="192"/>
      <c r="AC803" s="192"/>
      <c r="AD803" s="192"/>
      <c r="AE803" s="192"/>
      <c r="AF803" s="192"/>
      <c r="AG803" s="192"/>
      <c r="AH803" s="192"/>
      <c r="AI803" s="192"/>
      <c r="AJ803" s="192"/>
      <c r="AK803" s="192"/>
      <c r="AL803" s="192"/>
      <c r="AM803" s="192"/>
      <c r="AN803" s="192"/>
      <c r="AO803" s="192"/>
      <c r="AP803" s="192"/>
      <c r="AQ803" s="192"/>
      <c r="AR803" s="192"/>
      <c r="AS803" s="192"/>
      <c r="AT803" s="192"/>
      <c r="AU803" s="192"/>
      <c r="AV803" s="192"/>
    </row>
    <row r="804">
      <c r="A804" s="192"/>
      <c r="B804" s="192"/>
      <c r="C804" s="192"/>
      <c r="D804" s="192"/>
      <c r="E804" s="192"/>
      <c r="F804" s="192"/>
      <c r="G804" s="192"/>
      <c r="H804" s="192"/>
      <c r="I804" s="192"/>
      <c r="J804" s="192"/>
      <c r="K804" s="192"/>
      <c r="L804" s="192"/>
      <c r="M804" s="192"/>
      <c r="N804" s="192"/>
      <c r="O804" s="192"/>
      <c r="P804" s="192"/>
      <c r="Q804" s="192"/>
      <c r="R804" s="192"/>
      <c r="S804" s="192"/>
      <c r="T804" s="192"/>
      <c r="U804" s="192"/>
      <c r="V804" s="192"/>
      <c r="W804" s="192"/>
      <c r="X804" s="192"/>
      <c r="Y804" s="192"/>
      <c r="Z804" s="192"/>
      <c r="AA804" s="192"/>
      <c r="AB804" s="192"/>
      <c r="AC804" s="192"/>
      <c r="AD804" s="192"/>
      <c r="AE804" s="192"/>
      <c r="AF804" s="192"/>
      <c r="AG804" s="192"/>
      <c r="AH804" s="192"/>
      <c r="AI804" s="192"/>
      <c r="AJ804" s="192"/>
      <c r="AK804" s="192"/>
      <c r="AL804" s="192"/>
      <c r="AM804" s="192"/>
      <c r="AN804" s="192"/>
      <c r="AO804" s="192"/>
      <c r="AP804" s="192"/>
      <c r="AQ804" s="192"/>
      <c r="AR804" s="192"/>
      <c r="AS804" s="192"/>
      <c r="AT804" s="192"/>
      <c r="AU804" s="192"/>
      <c r="AV804" s="192"/>
    </row>
    <row r="805">
      <c r="A805" s="192"/>
      <c r="B805" s="192"/>
      <c r="C805" s="192"/>
      <c r="D805" s="192"/>
      <c r="E805" s="192"/>
      <c r="F805" s="192"/>
      <c r="G805" s="192"/>
      <c r="H805" s="192"/>
      <c r="I805" s="192"/>
      <c r="J805" s="192"/>
      <c r="K805" s="192"/>
      <c r="L805" s="192"/>
      <c r="M805" s="192"/>
      <c r="N805" s="192"/>
      <c r="O805" s="192"/>
      <c r="P805" s="192"/>
      <c r="Q805" s="192"/>
      <c r="R805" s="192"/>
      <c r="S805" s="192"/>
      <c r="T805" s="192"/>
      <c r="U805" s="192"/>
      <c r="V805" s="192"/>
      <c r="W805" s="192"/>
      <c r="X805" s="192"/>
      <c r="Y805" s="192"/>
      <c r="Z805" s="192"/>
      <c r="AA805" s="192"/>
      <c r="AB805" s="192"/>
      <c r="AC805" s="192"/>
      <c r="AD805" s="192"/>
      <c r="AE805" s="192"/>
      <c r="AF805" s="192"/>
      <c r="AG805" s="192"/>
      <c r="AH805" s="192"/>
      <c r="AI805" s="192"/>
      <c r="AJ805" s="192"/>
      <c r="AK805" s="192"/>
      <c r="AL805" s="192"/>
      <c r="AM805" s="192"/>
      <c r="AN805" s="192"/>
      <c r="AO805" s="192"/>
      <c r="AP805" s="192"/>
      <c r="AQ805" s="192"/>
      <c r="AR805" s="192"/>
      <c r="AS805" s="192"/>
      <c r="AT805" s="192"/>
      <c r="AU805" s="192"/>
      <c r="AV805" s="192"/>
    </row>
    <row r="806">
      <c r="A806" s="192"/>
      <c r="B806" s="192"/>
      <c r="C806" s="192"/>
      <c r="D806" s="192"/>
      <c r="E806" s="192"/>
      <c r="F806" s="192"/>
      <c r="G806" s="192"/>
      <c r="H806" s="192"/>
      <c r="I806" s="192"/>
      <c r="J806" s="192"/>
      <c r="K806" s="192"/>
      <c r="L806" s="192"/>
      <c r="M806" s="192"/>
      <c r="N806" s="192"/>
      <c r="O806" s="192"/>
      <c r="P806" s="192"/>
      <c r="Q806" s="192"/>
      <c r="R806" s="192"/>
      <c r="S806" s="192"/>
      <c r="T806" s="192"/>
      <c r="U806" s="192"/>
      <c r="V806" s="192"/>
      <c r="W806" s="192"/>
      <c r="X806" s="192"/>
      <c r="Y806" s="192"/>
      <c r="Z806" s="192"/>
      <c r="AA806" s="192"/>
      <c r="AB806" s="192"/>
      <c r="AC806" s="192"/>
      <c r="AD806" s="192"/>
      <c r="AE806" s="192"/>
      <c r="AF806" s="192"/>
      <c r="AG806" s="192"/>
      <c r="AH806" s="192"/>
      <c r="AI806" s="192"/>
      <c r="AJ806" s="192"/>
      <c r="AK806" s="192"/>
      <c r="AL806" s="192"/>
      <c r="AM806" s="192"/>
      <c r="AN806" s="192"/>
      <c r="AO806" s="192"/>
      <c r="AP806" s="192"/>
      <c r="AQ806" s="192"/>
      <c r="AR806" s="192"/>
      <c r="AS806" s="192"/>
      <c r="AT806" s="192"/>
      <c r="AU806" s="192"/>
      <c r="AV806" s="192"/>
    </row>
    <row r="807">
      <c r="A807" s="192"/>
      <c r="B807" s="192"/>
      <c r="C807" s="192"/>
      <c r="D807" s="192"/>
      <c r="E807" s="192"/>
      <c r="F807" s="192"/>
      <c r="G807" s="192"/>
      <c r="H807" s="192"/>
      <c r="I807" s="192"/>
      <c r="J807" s="192"/>
      <c r="K807" s="192"/>
      <c r="L807" s="192"/>
      <c r="M807" s="192"/>
      <c r="N807" s="192"/>
      <c r="O807" s="192"/>
      <c r="P807" s="192"/>
      <c r="Q807" s="192"/>
      <c r="R807" s="192"/>
      <c r="S807" s="192"/>
      <c r="T807" s="192"/>
      <c r="U807" s="192"/>
      <c r="V807" s="192"/>
      <c r="W807" s="192"/>
      <c r="X807" s="192"/>
      <c r="Y807" s="192"/>
      <c r="Z807" s="192"/>
      <c r="AA807" s="192"/>
      <c r="AB807" s="192"/>
      <c r="AC807" s="192"/>
      <c r="AD807" s="192"/>
      <c r="AE807" s="192"/>
      <c r="AF807" s="192"/>
      <c r="AG807" s="192"/>
      <c r="AH807" s="192"/>
      <c r="AI807" s="192"/>
      <c r="AJ807" s="192"/>
      <c r="AK807" s="192"/>
      <c r="AL807" s="192"/>
      <c r="AM807" s="192"/>
      <c r="AN807" s="192"/>
      <c r="AO807" s="192"/>
      <c r="AP807" s="192"/>
      <c r="AQ807" s="192"/>
      <c r="AR807" s="192"/>
      <c r="AS807" s="192"/>
      <c r="AT807" s="192"/>
      <c r="AU807" s="192"/>
      <c r="AV807" s="192"/>
    </row>
    <row r="808">
      <c r="A808" s="192"/>
      <c r="B808" s="192"/>
      <c r="C808" s="192"/>
      <c r="D808" s="192"/>
      <c r="E808" s="192"/>
      <c r="F808" s="192"/>
      <c r="G808" s="192"/>
      <c r="H808" s="192"/>
      <c r="I808" s="192"/>
      <c r="J808" s="192"/>
      <c r="K808" s="192"/>
      <c r="L808" s="192"/>
      <c r="M808" s="192"/>
      <c r="N808" s="192"/>
      <c r="O808" s="192"/>
      <c r="P808" s="192"/>
      <c r="Q808" s="192"/>
      <c r="R808" s="192"/>
      <c r="S808" s="192"/>
      <c r="T808" s="192"/>
      <c r="U808" s="192"/>
      <c r="V808" s="192"/>
      <c r="W808" s="192"/>
      <c r="X808" s="192"/>
      <c r="Y808" s="192"/>
      <c r="Z808" s="192"/>
      <c r="AA808" s="192"/>
      <c r="AB808" s="192"/>
      <c r="AC808" s="192"/>
      <c r="AD808" s="192"/>
      <c r="AE808" s="192"/>
      <c r="AF808" s="192"/>
      <c r="AG808" s="192"/>
      <c r="AH808" s="192"/>
      <c r="AI808" s="192"/>
      <c r="AJ808" s="192"/>
      <c r="AK808" s="192"/>
      <c r="AL808" s="192"/>
      <c r="AM808" s="192"/>
      <c r="AN808" s="192"/>
      <c r="AO808" s="192"/>
      <c r="AP808" s="192"/>
      <c r="AQ808" s="192"/>
      <c r="AR808" s="192"/>
      <c r="AS808" s="192"/>
      <c r="AT808" s="192"/>
      <c r="AU808" s="192"/>
      <c r="AV808" s="192"/>
    </row>
    <row r="809">
      <c r="A809" s="192"/>
      <c r="B809" s="192"/>
      <c r="C809" s="192"/>
      <c r="D809" s="192"/>
      <c r="E809" s="192"/>
      <c r="F809" s="192"/>
      <c r="G809" s="192"/>
      <c r="H809" s="192"/>
      <c r="I809" s="192"/>
      <c r="J809" s="192"/>
      <c r="K809" s="192"/>
      <c r="L809" s="192"/>
      <c r="M809" s="192"/>
      <c r="N809" s="192"/>
      <c r="O809" s="192"/>
      <c r="P809" s="192"/>
      <c r="Q809" s="192"/>
      <c r="R809" s="192"/>
      <c r="S809" s="192"/>
      <c r="T809" s="192"/>
      <c r="U809" s="192"/>
      <c r="V809" s="192"/>
      <c r="W809" s="192"/>
      <c r="X809" s="192"/>
      <c r="Y809" s="192"/>
      <c r="Z809" s="192"/>
      <c r="AA809" s="192"/>
      <c r="AB809" s="192"/>
      <c r="AC809" s="192"/>
      <c r="AD809" s="192"/>
      <c r="AE809" s="192"/>
      <c r="AF809" s="192"/>
      <c r="AG809" s="192"/>
      <c r="AH809" s="192"/>
      <c r="AI809" s="192"/>
      <c r="AJ809" s="192"/>
      <c r="AK809" s="192"/>
      <c r="AL809" s="192"/>
      <c r="AM809" s="192"/>
      <c r="AN809" s="192"/>
      <c r="AO809" s="192"/>
      <c r="AP809" s="192"/>
      <c r="AQ809" s="192"/>
      <c r="AR809" s="192"/>
      <c r="AS809" s="192"/>
      <c r="AT809" s="192"/>
      <c r="AU809" s="192"/>
      <c r="AV809" s="192"/>
    </row>
    <row r="810">
      <c r="A810" s="192"/>
      <c r="B810" s="192"/>
      <c r="C810" s="192"/>
      <c r="D810" s="192"/>
      <c r="E810" s="192"/>
      <c r="F810" s="192"/>
      <c r="G810" s="192"/>
      <c r="H810" s="192"/>
      <c r="I810" s="192"/>
      <c r="J810" s="192"/>
      <c r="K810" s="192"/>
      <c r="L810" s="192"/>
      <c r="M810" s="192"/>
      <c r="N810" s="192"/>
      <c r="O810" s="192"/>
      <c r="P810" s="192"/>
      <c r="Q810" s="192"/>
      <c r="R810" s="192"/>
      <c r="S810" s="192"/>
      <c r="T810" s="192"/>
      <c r="U810" s="192"/>
      <c r="V810" s="192"/>
      <c r="W810" s="192"/>
      <c r="X810" s="192"/>
      <c r="Y810" s="192"/>
      <c r="Z810" s="192"/>
      <c r="AA810" s="192"/>
      <c r="AB810" s="192"/>
      <c r="AC810" s="192"/>
      <c r="AD810" s="192"/>
      <c r="AE810" s="192"/>
      <c r="AF810" s="192"/>
      <c r="AG810" s="192"/>
      <c r="AH810" s="192"/>
      <c r="AI810" s="192"/>
      <c r="AJ810" s="192"/>
      <c r="AK810" s="192"/>
      <c r="AL810" s="192"/>
      <c r="AM810" s="192"/>
      <c r="AN810" s="192"/>
      <c r="AO810" s="192"/>
      <c r="AP810" s="192"/>
      <c r="AQ810" s="192"/>
      <c r="AR810" s="192"/>
      <c r="AS810" s="192"/>
      <c r="AT810" s="192"/>
      <c r="AU810" s="192"/>
      <c r="AV810" s="192"/>
    </row>
    <row r="811">
      <c r="A811" s="192"/>
      <c r="B811" s="192"/>
      <c r="C811" s="192"/>
      <c r="D811" s="192"/>
      <c r="E811" s="192"/>
      <c r="F811" s="192"/>
      <c r="G811" s="192"/>
      <c r="H811" s="192"/>
      <c r="I811" s="192"/>
      <c r="J811" s="192"/>
      <c r="K811" s="192"/>
      <c r="L811" s="192"/>
      <c r="M811" s="192"/>
      <c r="N811" s="192"/>
      <c r="O811" s="192"/>
      <c r="P811" s="192"/>
      <c r="Q811" s="192"/>
      <c r="R811" s="192"/>
      <c r="S811" s="192"/>
      <c r="T811" s="192"/>
      <c r="U811" s="192"/>
      <c r="V811" s="192"/>
      <c r="W811" s="192"/>
      <c r="X811" s="192"/>
      <c r="Y811" s="192"/>
      <c r="Z811" s="192"/>
      <c r="AA811" s="192"/>
      <c r="AB811" s="192"/>
      <c r="AC811" s="192"/>
      <c r="AD811" s="192"/>
      <c r="AE811" s="192"/>
      <c r="AF811" s="192"/>
      <c r="AG811" s="192"/>
      <c r="AH811" s="192"/>
      <c r="AI811" s="192"/>
      <c r="AJ811" s="192"/>
      <c r="AK811" s="192"/>
      <c r="AL811" s="192"/>
      <c r="AM811" s="192"/>
      <c r="AN811" s="192"/>
      <c r="AO811" s="192"/>
      <c r="AP811" s="192"/>
      <c r="AQ811" s="192"/>
      <c r="AR811" s="192"/>
      <c r="AS811" s="192"/>
      <c r="AT811" s="192"/>
      <c r="AU811" s="192"/>
      <c r="AV811" s="192"/>
    </row>
    <row r="812">
      <c r="A812" s="192"/>
      <c r="B812" s="192"/>
      <c r="C812" s="192"/>
      <c r="D812" s="192"/>
      <c r="E812" s="192"/>
      <c r="F812" s="192"/>
      <c r="G812" s="192"/>
      <c r="H812" s="192"/>
      <c r="I812" s="192"/>
      <c r="J812" s="192"/>
      <c r="K812" s="192"/>
      <c r="L812" s="192"/>
      <c r="M812" s="192"/>
      <c r="N812" s="192"/>
      <c r="O812" s="192"/>
      <c r="P812" s="192"/>
      <c r="Q812" s="192"/>
      <c r="R812" s="192"/>
      <c r="S812" s="192"/>
      <c r="T812" s="192"/>
      <c r="U812" s="192"/>
      <c r="V812" s="192"/>
      <c r="W812" s="192"/>
      <c r="X812" s="192"/>
      <c r="Y812" s="192"/>
      <c r="Z812" s="192"/>
      <c r="AA812" s="192"/>
      <c r="AB812" s="192"/>
      <c r="AC812" s="192"/>
      <c r="AD812" s="192"/>
      <c r="AE812" s="192"/>
      <c r="AF812" s="192"/>
      <c r="AG812" s="192"/>
      <c r="AH812" s="192"/>
      <c r="AI812" s="192"/>
      <c r="AJ812" s="192"/>
      <c r="AK812" s="192"/>
      <c r="AL812" s="192"/>
      <c r="AM812" s="192"/>
      <c r="AN812" s="192"/>
      <c r="AO812" s="192"/>
      <c r="AP812" s="192"/>
      <c r="AQ812" s="192"/>
      <c r="AR812" s="192"/>
      <c r="AS812" s="192"/>
      <c r="AT812" s="192"/>
      <c r="AU812" s="192"/>
      <c r="AV812" s="192"/>
    </row>
    <row r="813">
      <c r="A813" s="192"/>
      <c r="B813" s="192"/>
      <c r="C813" s="192"/>
      <c r="D813" s="192"/>
      <c r="E813" s="192"/>
      <c r="F813" s="192"/>
      <c r="G813" s="192"/>
      <c r="H813" s="192"/>
      <c r="I813" s="192"/>
      <c r="J813" s="192"/>
      <c r="K813" s="192"/>
      <c r="L813" s="192"/>
      <c r="M813" s="192"/>
      <c r="N813" s="192"/>
      <c r="O813" s="192"/>
      <c r="P813" s="192"/>
      <c r="Q813" s="192"/>
      <c r="R813" s="192"/>
      <c r="S813" s="192"/>
      <c r="T813" s="192"/>
      <c r="U813" s="192"/>
      <c r="V813" s="192"/>
      <c r="W813" s="192"/>
      <c r="X813" s="192"/>
      <c r="Y813" s="192"/>
      <c r="Z813" s="192"/>
      <c r="AA813" s="192"/>
      <c r="AB813" s="192"/>
      <c r="AC813" s="192"/>
      <c r="AD813" s="192"/>
      <c r="AE813" s="192"/>
      <c r="AF813" s="192"/>
      <c r="AG813" s="192"/>
      <c r="AH813" s="192"/>
      <c r="AI813" s="192"/>
      <c r="AJ813" s="192"/>
      <c r="AK813" s="192"/>
      <c r="AL813" s="192"/>
      <c r="AM813" s="192"/>
      <c r="AN813" s="192"/>
      <c r="AO813" s="192"/>
      <c r="AP813" s="192"/>
      <c r="AQ813" s="192"/>
      <c r="AR813" s="192"/>
      <c r="AS813" s="192"/>
      <c r="AT813" s="192"/>
      <c r="AU813" s="192"/>
      <c r="AV813" s="192"/>
    </row>
    <row r="814">
      <c r="A814" s="192"/>
      <c r="B814" s="192"/>
      <c r="C814" s="192"/>
      <c r="D814" s="192"/>
      <c r="E814" s="192"/>
      <c r="F814" s="192"/>
      <c r="G814" s="192"/>
      <c r="H814" s="192"/>
      <c r="I814" s="192"/>
      <c r="J814" s="192"/>
      <c r="K814" s="192"/>
      <c r="L814" s="192"/>
      <c r="M814" s="192"/>
      <c r="N814" s="192"/>
      <c r="O814" s="192"/>
      <c r="P814" s="192"/>
      <c r="Q814" s="192"/>
      <c r="R814" s="192"/>
      <c r="S814" s="192"/>
      <c r="T814" s="192"/>
      <c r="U814" s="192"/>
      <c r="V814" s="192"/>
      <c r="W814" s="192"/>
      <c r="X814" s="192"/>
      <c r="Y814" s="192"/>
      <c r="Z814" s="192"/>
      <c r="AA814" s="192"/>
      <c r="AB814" s="192"/>
      <c r="AC814" s="192"/>
      <c r="AD814" s="192"/>
      <c r="AE814" s="192"/>
      <c r="AF814" s="192"/>
      <c r="AG814" s="192"/>
      <c r="AH814" s="192"/>
      <c r="AI814" s="192"/>
      <c r="AJ814" s="192"/>
      <c r="AK814" s="192"/>
      <c r="AL814" s="192"/>
      <c r="AM814" s="192"/>
      <c r="AN814" s="192"/>
      <c r="AO814" s="192"/>
      <c r="AP814" s="192"/>
      <c r="AQ814" s="192"/>
      <c r="AR814" s="192"/>
      <c r="AS814" s="192"/>
      <c r="AT814" s="192"/>
      <c r="AU814" s="192"/>
      <c r="AV814" s="192"/>
    </row>
    <row r="815">
      <c r="A815" s="192"/>
      <c r="B815" s="192"/>
      <c r="C815" s="192"/>
      <c r="D815" s="192"/>
      <c r="E815" s="192"/>
      <c r="F815" s="192"/>
      <c r="G815" s="192"/>
      <c r="H815" s="192"/>
      <c r="I815" s="192"/>
      <c r="J815" s="192"/>
      <c r="K815" s="192"/>
      <c r="L815" s="192"/>
      <c r="M815" s="192"/>
      <c r="N815" s="192"/>
      <c r="O815" s="192"/>
      <c r="P815" s="192"/>
      <c r="Q815" s="192"/>
      <c r="R815" s="192"/>
      <c r="S815" s="192"/>
      <c r="T815" s="192"/>
      <c r="U815" s="192"/>
      <c r="V815" s="192"/>
      <c r="W815" s="192"/>
      <c r="X815" s="192"/>
      <c r="Y815" s="192"/>
      <c r="Z815" s="192"/>
      <c r="AA815" s="192"/>
      <c r="AB815" s="192"/>
      <c r="AC815" s="192"/>
      <c r="AD815" s="192"/>
      <c r="AE815" s="192"/>
      <c r="AF815" s="192"/>
      <c r="AG815" s="192"/>
      <c r="AH815" s="192"/>
      <c r="AI815" s="192"/>
      <c r="AJ815" s="192"/>
      <c r="AK815" s="192"/>
      <c r="AL815" s="192"/>
      <c r="AM815" s="192"/>
      <c r="AN815" s="192"/>
      <c r="AO815" s="192"/>
      <c r="AP815" s="192"/>
      <c r="AQ815" s="192"/>
      <c r="AR815" s="192"/>
      <c r="AS815" s="192"/>
      <c r="AT815" s="192"/>
      <c r="AU815" s="192"/>
      <c r="AV815" s="192"/>
    </row>
    <row r="816">
      <c r="A816" s="192"/>
      <c r="B816" s="192"/>
      <c r="C816" s="192"/>
      <c r="D816" s="192"/>
      <c r="E816" s="192"/>
      <c r="F816" s="192"/>
      <c r="G816" s="192"/>
      <c r="H816" s="192"/>
      <c r="I816" s="192"/>
      <c r="J816" s="192"/>
      <c r="K816" s="192"/>
      <c r="L816" s="192"/>
      <c r="M816" s="192"/>
      <c r="N816" s="192"/>
      <c r="O816" s="192"/>
      <c r="P816" s="192"/>
      <c r="Q816" s="192"/>
      <c r="R816" s="192"/>
      <c r="S816" s="192"/>
      <c r="T816" s="192"/>
      <c r="U816" s="192"/>
      <c r="V816" s="192"/>
      <c r="W816" s="192"/>
      <c r="X816" s="192"/>
      <c r="Y816" s="192"/>
      <c r="Z816" s="192"/>
      <c r="AA816" s="192"/>
      <c r="AB816" s="192"/>
      <c r="AC816" s="192"/>
      <c r="AD816" s="192"/>
      <c r="AE816" s="192"/>
      <c r="AF816" s="192"/>
      <c r="AG816" s="192"/>
      <c r="AH816" s="192"/>
      <c r="AI816" s="192"/>
      <c r="AJ816" s="192"/>
      <c r="AK816" s="192"/>
      <c r="AL816" s="192"/>
      <c r="AM816" s="192"/>
      <c r="AN816" s="192"/>
      <c r="AO816" s="192"/>
      <c r="AP816" s="192"/>
      <c r="AQ816" s="192"/>
      <c r="AR816" s="192"/>
      <c r="AS816" s="192"/>
      <c r="AT816" s="192"/>
      <c r="AU816" s="192"/>
      <c r="AV816" s="192"/>
    </row>
    <row r="817">
      <c r="A817" s="192"/>
      <c r="B817" s="192"/>
      <c r="C817" s="192"/>
      <c r="D817" s="192"/>
      <c r="E817" s="192"/>
      <c r="F817" s="192"/>
      <c r="G817" s="192"/>
      <c r="H817" s="192"/>
      <c r="I817" s="192"/>
      <c r="J817" s="192"/>
      <c r="K817" s="192"/>
      <c r="L817" s="192"/>
      <c r="M817" s="192"/>
      <c r="N817" s="192"/>
      <c r="O817" s="192"/>
      <c r="P817" s="192"/>
      <c r="Q817" s="192"/>
      <c r="R817" s="192"/>
      <c r="S817" s="192"/>
      <c r="T817" s="192"/>
      <c r="U817" s="192"/>
      <c r="V817" s="192"/>
      <c r="W817" s="192"/>
      <c r="X817" s="192"/>
      <c r="Y817" s="192"/>
      <c r="Z817" s="192"/>
      <c r="AA817" s="192"/>
      <c r="AB817" s="192"/>
      <c r="AC817" s="192"/>
      <c r="AD817" s="192"/>
      <c r="AE817" s="192"/>
      <c r="AF817" s="192"/>
      <c r="AG817" s="192"/>
      <c r="AH817" s="192"/>
      <c r="AI817" s="192"/>
      <c r="AJ817" s="192"/>
      <c r="AK817" s="192"/>
      <c r="AL817" s="192"/>
      <c r="AM817" s="192"/>
      <c r="AN817" s="192"/>
      <c r="AO817" s="192"/>
      <c r="AP817" s="192"/>
      <c r="AQ817" s="192"/>
      <c r="AR817" s="192"/>
      <c r="AS817" s="192"/>
      <c r="AT817" s="192"/>
      <c r="AU817" s="192"/>
      <c r="AV817" s="192"/>
    </row>
    <row r="818">
      <c r="A818" s="192"/>
      <c r="B818" s="192"/>
      <c r="C818" s="192"/>
      <c r="D818" s="192"/>
      <c r="E818" s="192"/>
      <c r="F818" s="192"/>
      <c r="G818" s="192"/>
      <c r="H818" s="192"/>
      <c r="I818" s="192"/>
      <c r="J818" s="192"/>
      <c r="K818" s="192"/>
      <c r="L818" s="192"/>
      <c r="M818" s="192"/>
      <c r="N818" s="192"/>
      <c r="O818" s="192"/>
      <c r="P818" s="192"/>
      <c r="Q818" s="192"/>
      <c r="R818" s="192"/>
      <c r="S818" s="192"/>
      <c r="T818" s="192"/>
      <c r="U818" s="192"/>
      <c r="V818" s="192"/>
      <c r="W818" s="192"/>
      <c r="X818" s="192"/>
      <c r="Y818" s="192"/>
      <c r="Z818" s="192"/>
      <c r="AA818" s="192"/>
      <c r="AB818" s="192"/>
      <c r="AC818" s="192"/>
      <c r="AD818" s="192"/>
      <c r="AE818" s="192"/>
      <c r="AF818" s="192"/>
      <c r="AG818" s="192"/>
      <c r="AH818" s="192"/>
      <c r="AI818" s="192"/>
      <c r="AJ818" s="192"/>
      <c r="AK818" s="192"/>
      <c r="AL818" s="192"/>
      <c r="AM818" s="192"/>
      <c r="AN818" s="192"/>
      <c r="AO818" s="192"/>
      <c r="AP818" s="192"/>
      <c r="AQ818" s="192"/>
      <c r="AR818" s="192"/>
      <c r="AS818" s="192"/>
      <c r="AT818" s="192"/>
      <c r="AU818" s="192"/>
      <c r="AV818" s="192"/>
    </row>
    <row r="819">
      <c r="A819" s="192"/>
      <c r="B819" s="192"/>
      <c r="C819" s="192"/>
      <c r="D819" s="192"/>
      <c r="E819" s="192"/>
      <c r="F819" s="192"/>
      <c r="G819" s="192"/>
      <c r="H819" s="192"/>
      <c r="I819" s="192"/>
      <c r="J819" s="192"/>
      <c r="K819" s="192"/>
      <c r="L819" s="192"/>
      <c r="M819" s="192"/>
      <c r="N819" s="192"/>
      <c r="O819" s="192"/>
      <c r="P819" s="192"/>
      <c r="Q819" s="192"/>
      <c r="R819" s="192"/>
      <c r="S819" s="192"/>
      <c r="T819" s="192"/>
      <c r="U819" s="192"/>
      <c r="V819" s="192"/>
      <c r="W819" s="192"/>
      <c r="X819" s="192"/>
      <c r="Y819" s="192"/>
      <c r="Z819" s="192"/>
      <c r="AA819" s="192"/>
      <c r="AB819" s="192"/>
      <c r="AC819" s="192"/>
      <c r="AD819" s="192"/>
      <c r="AE819" s="192"/>
      <c r="AF819" s="192"/>
      <c r="AG819" s="192"/>
      <c r="AH819" s="192"/>
      <c r="AI819" s="192"/>
      <c r="AJ819" s="192"/>
      <c r="AK819" s="192"/>
      <c r="AL819" s="192"/>
      <c r="AM819" s="192"/>
      <c r="AN819" s="192"/>
      <c r="AO819" s="192"/>
      <c r="AP819" s="192"/>
      <c r="AQ819" s="192"/>
      <c r="AR819" s="192"/>
      <c r="AS819" s="192"/>
      <c r="AT819" s="192"/>
      <c r="AU819" s="192"/>
      <c r="AV819" s="192"/>
    </row>
    <row r="820">
      <c r="A820" s="192"/>
      <c r="B820" s="192"/>
      <c r="C820" s="192"/>
      <c r="D820" s="192"/>
      <c r="E820" s="192"/>
      <c r="F820" s="192"/>
      <c r="G820" s="192"/>
      <c r="H820" s="192"/>
      <c r="I820" s="192"/>
      <c r="J820" s="192"/>
      <c r="K820" s="192"/>
      <c r="L820" s="192"/>
      <c r="M820" s="192"/>
      <c r="N820" s="192"/>
      <c r="O820" s="192"/>
      <c r="P820" s="192"/>
      <c r="Q820" s="192"/>
      <c r="R820" s="192"/>
      <c r="S820" s="192"/>
      <c r="T820" s="192"/>
      <c r="U820" s="192"/>
      <c r="V820" s="192"/>
      <c r="W820" s="192"/>
      <c r="X820" s="192"/>
      <c r="Y820" s="192"/>
      <c r="Z820" s="192"/>
      <c r="AA820" s="192"/>
      <c r="AB820" s="192"/>
      <c r="AC820" s="192"/>
      <c r="AD820" s="192"/>
      <c r="AE820" s="192"/>
      <c r="AF820" s="192"/>
      <c r="AG820" s="192"/>
      <c r="AH820" s="192"/>
      <c r="AI820" s="192"/>
      <c r="AJ820" s="192"/>
      <c r="AK820" s="192"/>
      <c r="AL820" s="192"/>
      <c r="AM820" s="192"/>
      <c r="AN820" s="192"/>
      <c r="AO820" s="192"/>
      <c r="AP820" s="192"/>
      <c r="AQ820" s="192"/>
      <c r="AR820" s="192"/>
      <c r="AS820" s="192"/>
      <c r="AT820" s="192"/>
      <c r="AU820" s="192"/>
      <c r="AV820" s="192"/>
    </row>
    <row r="821">
      <c r="A821" s="192"/>
      <c r="B821" s="192"/>
      <c r="C821" s="192"/>
      <c r="D821" s="192"/>
      <c r="E821" s="192"/>
      <c r="F821" s="192"/>
      <c r="G821" s="192"/>
      <c r="H821" s="192"/>
      <c r="I821" s="192"/>
      <c r="J821" s="192"/>
      <c r="K821" s="192"/>
      <c r="L821" s="192"/>
      <c r="M821" s="192"/>
      <c r="N821" s="192"/>
      <c r="O821" s="192"/>
      <c r="P821" s="192"/>
      <c r="Q821" s="192"/>
      <c r="R821" s="192"/>
      <c r="S821" s="192"/>
      <c r="T821" s="192"/>
      <c r="U821" s="192"/>
      <c r="V821" s="192"/>
      <c r="W821" s="192"/>
      <c r="X821" s="192"/>
      <c r="Y821" s="192"/>
      <c r="Z821" s="192"/>
      <c r="AA821" s="192"/>
      <c r="AB821" s="192"/>
      <c r="AC821" s="192"/>
      <c r="AD821" s="192"/>
      <c r="AE821" s="192"/>
      <c r="AF821" s="192"/>
      <c r="AG821" s="192"/>
      <c r="AH821" s="192"/>
      <c r="AI821" s="192"/>
      <c r="AJ821" s="192"/>
      <c r="AK821" s="192"/>
      <c r="AL821" s="192"/>
      <c r="AM821" s="192"/>
      <c r="AN821" s="192"/>
      <c r="AO821" s="192"/>
      <c r="AP821" s="192"/>
      <c r="AQ821" s="192"/>
      <c r="AR821" s="192"/>
      <c r="AS821" s="192"/>
      <c r="AT821" s="192"/>
      <c r="AU821" s="192"/>
      <c r="AV821" s="192"/>
    </row>
    <row r="822">
      <c r="A822" s="192"/>
      <c r="B822" s="192"/>
      <c r="C822" s="192"/>
      <c r="D822" s="192"/>
      <c r="E822" s="192"/>
      <c r="F822" s="192"/>
      <c r="G822" s="192"/>
      <c r="H822" s="192"/>
      <c r="I822" s="192"/>
      <c r="J822" s="192"/>
      <c r="K822" s="192"/>
      <c r="L822" s="192"/>
      <c r="M822" s="192"/>
      <c r="N822" s="192"/>
      <c r="O822" s="192"/>
      <c r="P822" s="192"/>
      <c r="Q822" s="192"/>
      <c r="R822" s="192"/>
      <c r="S822" s="192"/>
      <c r="T822" s="192"/>
      <c r="U822" s="192"/>
      <c r="V822" s="192"/>
      <c r="W822" s="192"/>
      <c r="X822" s="192"/>
      <c r="Y822" s="192"/>
      <c r="Z822" s="192"/>
      <c r="AA822" s="192"/>
      <c r="AB822" s="192"/>
      <c r="AC822" s="192"/>
      <c r="AD822" s="192"/>
      <c r="AE822" s="192"/>
      <c r="AF822" s="192"/>
      <c r="AG822" s="192"/>
      <c r="AH822" s="192"/>
      <c r="AI822" s="192"/>
      <c r="AJ822" s="192"/>
      <c r="AK822" s="192"/>
      <c r="AL822" s="192"/>
      <c r="AM822" s="192"/>
      <c r="AN822" s="192"/>
      <c r="AO822" s="192"/>
      <c r="AP822" s="192"/>
      <c r="AQ822" s="192"/>
      <c r="AR822" s="192"/>
      <c r="AS822" s="192"/>
      <c r="AT822" s="192"/>
      <c r="AU822" s="192"/>
      <c r="AV822" s="192"/>
    </row>
    <row r="823">
      <c r="A823" s="192"/>
      <c r="B823" s="192"/>
      <c r="C823" s="192"/>
      <c r="D823" s="192"/>
      <c r="E823" s="192"/>
      <c r="F823" s="192"/>
      <c r="G823" s="192"/>
      <c r="H823" s="192"/>
      <c r="I823" s="192"/>
      <c r="J823" s="192"/>
      <c r="K823" s="192"/>
      <c r="L823" s="192"/>
      <c r="M823" s="192"/>
      <c r="N823" s="192"/>
      <c r="O823" s="192"/>
      <c r="P823" s="192"/>
      <c r="Q823" s="192"/>
      <c r="R823" s="192"/>
      <c r="S823" s="192"/>
      <c r="T823" s="192"/>
      <c r="U823" s="192"/>
      <c r="V823" s="192"/>
      <c r="W823" s="192"/>
      <c r="X823" s="192"/>
      <c r="Y823" s="192"/>
      <c r="Z823" s="192"/>
      <c r="AA823" s="192"/>
      <c r="AB823" s="192"/>
      <c r="AC823" s="192"/>
      <c r="AD823" s="192"/>
      <c r="AE823" s="192"/>
      <c r="AF823" s="192"/>
      <c r="AG823" s="192"/>
      <c r="AH823" s="192"/>
      <c r="AI823" s="192"/>
      <c r="AJ823" s="192"/>
      <c r="AK823" s="192"/>
      <c r="AL823" s="192"/>
      <c r="AM823" s="192"/>
      <c r="AN823" s="192"/>
      <c r="AO823" s="192"/>
      <c r="AP823" s="192"/>
      <c r="AQ823" s="192"/>
      <c r="AR823" s="192"/>
      <c r="AS823" s="192"/>
      <c r="AT823" s="192"/>
      <c r="AU823" s="192"/>
      <c r="AV823" s="192"/>
    </row>
    <row r="824">
      <c r="A824" s="192"/>
      <c r="B824" s="192"/>
      <c r="C824" s="192"/>
      <c r="D824" s="192"/>
      <c r="E824" s="192"/>
      <c r="F824" s="192"/>
      <c r="G824" s="192"/>
      <c r="H824" s="192"/>
      <c r="I824" s="192"/>
      <c r="J824" s="192"/>
      <c r="K824" s="192"/>
      <c r="L824" s="192"/>
      <c r="M824" s="192"/>
      <c r="N824" s="192"/>
      <c r="O824" s="192"/>
      <c r="P824" s="192"/>
      <c r="Q824" s="192"/>
      <c r="R824" s="192"/>
      <c r="S824" s="192"/>
      <c r="T824" s="192"/>
      <c r="U824" s="192"/>
      <c r="V824" s="192"/>
      <c r="W824" s="192"/>
      <c r="X824" s="192"/>
      <c r="Y824" s="192"/>
      <c r="Z824" s="192"/>
      <c r="AA824" s="192"/>
      <c r="AB824" s="192"/>
      <c r="AC824" s="192"/>
      <c r="AD824" s="192"/>
      <c r="AE824" s="192"/>
      <c r="AF824" s="192"/>
      <c r="AG824" s="192"/>
      <c r="AH824" s="192"/>
      <c r="AI824" s="192"/>
      <c r="AJ824" s="192"/>
      <c r="AK824" s="192"/>
      <c r="AL824" s="192"/>
      <c r="AM824" s="192"/>
      <c r="AN824" s="192"/>
      <c r="AO824" s="192"/>
      <c r="AP824" s="192"/>
      <c r="AQ824" s="192"/>
      <c r="AR824" s="192"/>
      <c r="AS824" s="192"/>
      <c r="AT824" s="192"/>
      <c r="AU824" s="192"/>
      <c r="AV824" s="192"/>
    </row>
    <row r="825">
      <c r="A825" s="192"/>
      <c r="B825" s="192"/>
      <c r="C825" s="192"/>
      <c r="D825" s="192"/>
      <c r="E825" s="192"/>
      <c r="F825" s="192"/>
      <c r="G825" s="192"/>
      <c r="H825" s="192"/>
      <c r="I825" s="192"/>
      <c r="J825" s="192"/>
      <c r="K825" s="192"/>
      <c r="L825" s="192"/>
      <c r="M825" s="192"/>
      <c r="N825" s="192"/>
      <c r="O825" s="192"/>
      <c r="P825" s="192"/>
      <c r="Q825" s="192"/>
      <c r="R825" s="192"/>
      <c r="S825" s="192"/>
      <c r="T825" s="192"/>
      <c r="U825" s="192"/>
      <c r="V825" s="192"/>
      <c r="W825" s="192"/>
      <c r="X825" s="192"/>
      <c r="Y825" s="192"/>
      <c r="Z825" s="192"/>
      <c r="AA825" s="192"/>
      <c r="AB825" s="192"/>
      <c r="AC825" s="192"/>
      <c r="AD825" s="192"/>
      <c r="AE825" s="192"/>
      <c r="AF825" s="192"/>
      <c r="AG825" s="192"/>
      <c r="AH825" s="192"/>
      <c r="AI825" s="192"/>
      <c r="AJ825" s="192"/>
      <c r="AK825" s="192"/>
      <c r="AL825" s="192"/>
      <c r="AM825" s="192"/>
      <c r="AN825" s="192"/>
      <c r="AO825" s="192"/>
      <c r="AP825" s="192"/>
      <c r="AQ825" s="192"/>
      <c r="AR825" s="192"/>
      <c r="AS825" s="192"/>
      <c r="AT825" s="192"/>
      <c r="AU825" s="192"/>
      <c r="AV825" s="192"/>
    </row>
    <row r="826">
      <c r="A826" s="192"/>
      <c r="B826" s="192"/>
      <c r="C826" s="192"/>
      <c r="D826" s="192"/>
      <c r="E826" s="192"/>
      <c r="F826" s="192"/>
      <c r="G826" s="192"/>
      <c r="H826" s="192"/>
      <c r="I826" s="192"/>
      <c r="J826" s="192"/>
      <c r="K826" s="192"/>
      <c r="L826" s="192"/>
      <c r="M826" s="192"/>
      <c r="N826" s="192"/>
      <c r="O826" s="192"/>
      <c r="P826" s="192"/>
      <c r="Q826" s="192"/>
      <c r="R826" s="192"/>
      <c r="S826" s="192"/>
      <c r="T826" s="192"/>
      <c r="U826" s="192"/>
      <c r="V826" s="192"/>
      <c r="W826" s="192"/>
      <c r="X826" s="192"/>
      <c r="Y826" s="192"/>
      <c r="Z826" s="192"/>
      <c r="AA826" s="192"/>
      <c r="AB826" s="192"/>
      <c r="AC826" s="192"/>
      <c r="AD826" s="192"/>
      <c r="AE826" s="192"/>
      <c r="AF826" s="192"/>
      <c r="AG826" s="192"/>
      <c r="AH826" s="192"/>
      <c r="AI826" s="192"/>
      <c r="AJ826" s="192"/>
      <c r="AK826" s="192"/>
      <c r="AL826" s="192"/>
      <c r="AM826" s="192"/>
      <c r="AN826" s="192"/>
      <c r="AO826" s="192"/>
      <c r="AP826" s="192"/>
      <c r="AQ826" s="192"/>
      <c r="AR826" s="192"/>
      <c r="AS826" s="192"/>
      <c r="AT826" s="192"/>
      <c r="AU826" s="192"/>
      <c r="AV826" s="192"/>
    </row>
    <row r="827">
      <c r="A827" s="192"/>
      <c r="B827" s="192"/>
      <c r="C827" s="192"/>
      <c r="D827" s="192"/>
      <c r="E827" s="192"/>
      <c r="F827" s="192"/>
      <c r="G827" s="192"/>
      <c r="H827" s="192"/>
      <c r="I827" s="192"/>
      <c r="J827" s="192"/>
      <c r="K827" s="192"/>
      <c r="L827" s="192"/>
      <c r="M827" s="192"/>
      <c r="N827" s="192"/>
      <c r="O827" s="192"/>
      <c r="P827" s="192"/>
      <c r="Q827" s="192"/>
      <c r="R827" s="192"/>
      <c r="S827" s="192"/>
      <c r="T827" s="192"/>
      <c r="U827" s="192"/>
      <c r="V827" s="192"/>
      <c r="W827" s="192"/>
      <c r="X827" s="192"/>
      <c r="Y827" s="192"/>
      <c r="Z827" s="192"/>
      <c r="AA827" s="192"/>
      <c r="AB827" s="192"/>
      <c r="AC827" s="192"/>
      <c r="AD827" s="192"/>
      <c r="AE827" s="192"/>
      <c r="AF827" s="192"/>
      <c r="AG827" s="192"/>
      <c r="AH827" s="192"/>
      <c r="AI827" s="192"/>
      <c r="AJ827" s="192"/>
      <c r="AK827" s="192"/>
      <c r="AL827" s="192"/>
      <c r="AM827" s="192"/>
      <c r="AN827" s="192"/>
      <c r="AO827" s="192"/>
      <c r="AP827" s="192"/>
      <c r="AQ827" s="192"/>
      <c r="AR827" s="192"/>
      <c r="AS827" s="192"/>
      <c r="AT827" s="192"/>
      <c r="AU827" s="192"/>
      <c r="AV827" s="192"/>
    </row>
    <row r="828">
      <c r="A828" s="192"/>
      <c r="B828" s="192"/>
      <c r="C828" s="192"/>
      <c r="D828" s="192"/>
      <c r="E828" s="192"/>
      <c r="F828" s="192"/>
      <c r="G828" s="192"/>
      <c r="H828" s="192"/>
      <c r="I828" s="192"/>
      <c r="J828" s="192"/>
      <c r="K828" s="192"/>
      <c r="L828" s="192"/>
      <c r="M828" s="192"/>
      <c r="N828" s="192"/>
      <c r="O828" s="192"/>
      <c r="P828" s="192"/>
      <c r="Q828" s="192"/>
      <c r="R828" s="192"/>
      <c r="S828" s="192"/>
      <c r="T828" s="192"/>
      <c r="U828" s="192"/>
      <c r="V828" s="192"/>
      <c r="W828" s="192"/>
      <c r="X828" s="192"/>
      <c r="Y828" s="192"/>
      <c r="Z828" s="192"/>
      <c r="AA828" s="192"/>
      <c r="AB828" s="192"/>
      <c r="AC828" s="192"/>
      <c r="AD828" s="192"/>
      <c r="AE828" s="192"/>
      <c r="AF828" s="192"/>
      <c r="AG828" s="192"/>
      <c r="AH828" s="192"/>
      <c r="AI828" s="192"/>
      <c r="AJ828" s="192"/>
      <c r="AK828" s="192"/>
      <c r="AL828" s="192"/>
      <c r="AM828" s="192"/>
      <c r="AN828" s="192"/>
      <c r="AO828" s="192"/>
      <c r="AP828" s="192"/>
      <c r="AQ828" s="192"/>
      <c r="AR828" s="192"/>
      <c r="AS828" s="192"/>
      <c r="AT828" s="192"/>
      <c r="AU828" s="192"/>
      <c r="AV828" s="192"/>
    </row>
    <row r="829">
      <c r="A829" s="192"/>
      <c r="B829" s="192"/>
      <c r="C829" s="192"/>
      <c r="D829" s="192"/>
      <c r="E829" s="192"/>
      <c r="F829" s="192"/>
      <c r="G829" s="192"/>
      <c r="H829" s="192"/>
      <c r="I829" s="192"/>
      <c r="J829" s="192"/>
      <c r="K829" s="192"/>
      <c r="L829" s="192"/>
      <c r="M829" s="192"/>
      <c r="N829" s="192"/>
      <c r="O829" s="192"/>
      <c r="P829" s="192"/>
      <c r="Q829" s="192"/>
      <c r="R829" s="192"/>
      <c r="S829" s="192"/>
      <c r="T829" s="192"/>
      <c r="U829" s="192"/>
      <c r="V829" s="192"/>
      <c r="W829" s="192"/>
      <c r="X829" s="192"/>
      <c r="Y829" s="192"/>
      <c r="Z829" s="192"/>
      <c r="AA829" s="192"/>
      <c r="AB829" s="192"/>
      <c r="AC829" s="192"/>
      <c r="AD829" s="192"/>
      <c r="AE829" s="192"/>
      <c r="AF829" s="192"/>
      <c r="AG829" s="192"/>
      <c r="AH829" s="192"/>
      <c r="AI829" s="192"/>
      <c r="AJ829" s="192"/>
      <c r="AK829" s="192"/>
      <c r="AL829" s="192"/>
      <c r="AM829" s="192"/>
      <c r="AN829" s="192"/>
      <c r="AO829" s="192"/>
      <c r="AP829" s="192"/>
      <c r="AQ829" s="192"/>
      <c r="AR829" s="192"/>
      <c r="AS829" s="192"/>
      <c r="AT829" s="192"/>
      <c r="AU829" s="192"/>
      <c r="AV829" s="192"/>
    </row>
    <row r="830">
      <c r="A830" s="192"/>
      <c r="B830" s="192"/>
      <c r="C830" s="192"/>
      <c r="D830" s="192"/>
      <c r="E830" s="192"/>
      <c r="F830" s="192"/>
      <c r="G830" s="192"/>
      <c r="H830" s="192"/>
      <c r="I830" s="192"/>
      <c r="J830" s="192"/>
      <c r="K830" s="192"/>
      <c r="L830" s="192"/>
      <c r="M830" s="192"/>
      <c r="N830" s="192"/>
      <c r="O830" s="192"/>
      <c r="P830" s="192"/>
      <c r="Q830" s="192"/>
      <c r="R830" s="192"/>
      <c r="S830" s="192"/>
      <c r="T830" s="192"/>
      <c r="U830" s="192"/>
      <c r="V830" s="192"/>
      <c r="W830" s="192"/>
      <c r="X830" s="192"/>
      <c r="Y830" s="192"/>
      <c r="Z830" s="192"/>
      <c r="AA830" s="192"/>
      <c r="AB830" s="192"/>
      <c r="AC830" s="192"/>
      <c r="AD830" s="192"/>
      <c r="AE830" s="192"/>
      <c r="AF830" s="192"/>
      <c r="AG830" s="192"/>
      <c r="AH830" s="192"/>
      <c r="AI830" s="192"/>
      <c r="AJ830" s="192"/>
      <c r="AK830" s="192"/>
      <c r="AL830" s="192"/>
      <c r="AM830" s="192"/>
      <c r="AN830" s="192"/>
      <c r="AO830" s="192"/>
      <c r="AP830" s="192"/>
      <c r="AQ830" s="192"/>
      <c r="AR830" s="192"/>
      <c r="AS830" s="192"/>
      <c r="AT830" s="192"/>
      <c r="AU830" s="192"/>
      <c r="AV830" s="192"/>
    </row>
    <row r="831">
      <c r="A831" s="192"/>
      <c r="B831" s="192"/>
      <c r="C831" s="192"/>
      <c r="D831" s="192"/>
      <c r="E831" s="192"/>
      <c r="F831" s="192"/>
      <c r="G831" s="192"/>
      <c r="H831" s="192"/>
      <c r="I831" s="192"/>
      <c r="J831" s="192"/>
      <c r="K831" s="192"/>
      <c r="L831" s="192"/>
      <c r="M831" s="192"/>
      <c r="N831" s="192"/>
      <c r="O831" s="192"/>
      <c r="P831" s="192"/>
      <c r="Q831" s="192"/>
      <c r="R831" s="192"/>
      <c r="S831" s="192"/>
      <c r="T831" s="192"/>
      <c r="U831" s="192"/>
      <c r="V831" s="192"/>
      <c r="W831" s="192"/>
      <c r="X831" s="192"/>
      <c r="Y831" s="192"/>
      <c r="Z831" s="192"/>
      <c r="AA831" s="192"/>
      <c r="AB831" s="192"/>
      <c r="AC831" s="192"/>
      <c r="AD831" s="192"/>
      <c r="AE831" s="192"/>
      <c r="AF831" s="192"/>
      <c r="AG831" s="192"/>
      <c r="AH831" s="192"/>
      <c r="AI831" s="192"/>
      <c r="AJ831" s="192"/>
      <c r="AK831" s="192"/>
      <c r="AL831" s="192"/>
      <c r="AM831" s="192"/>
      <c r="AN831" s="192"/>
      <c r="AO831" s="192"/>
      <c r="AP831" s="192"/>
      <c r="AQ831" s="192"/>
      <c r="AR831" s="192"/>
      <c r="AS831" s="192"/>
      <c r="AT831" s="192"/>
      <c r="AU831" s="192"/>
      <c r="AV831" s="192"/>
    </row>
    <row r="832">
      <c r="A832" s="192"/>
      <c r="B832" s="192"/>
      <c r="C832" s="192"/>
      <c r="D832" s="192"/>
      <c r="E832" s="192"/>
      <c r="F832" s="192"/>
      <c r="G832" s="192"/>
      <c r="H832" s="192"/>
      <c r="I832" s="192"/>
      <c r="J832" s="192"/>
      <c r="K832" s="192"/>
      <c r="L832" s="192"/>
      <c r="M832" s="192"/>
      <c r="N832" s="192"/>
      <c r="O832" s="192"/>
      <c r="P832" s="192"/>
      <c r="Q832" s="192"/>
      <c r="R832" s="192"/>
      <c r="S832" s="192"/>
      <c r="T832" s="192"/>
      <c r="U832" s="192"/>
      <c r="V832" s="192"/>
      <c r="W832" s="192"/>
      <c r="X832" s="192"/>
      <c r="Y832" s="192"/>
      <c r="Z832" s="192"/>
      <c r="AA832" s="192"/>
      <c r="AB832" s="192"/>
      <c r="AC832" s="192"/>
      <c r="AD832" s="192"/>
      <c r="AE832" s="192"/>
      <c r="AF832" s="192"/>
      <c r="AG832" s="192"/>
      <c r="AH832" s="192"/>
      <c r="AI832" s="192"/>
      <c r="AJ832" s="192"/>
      <c r="AK832" s="192"/>
      <c r="AL832" s="192"/>
      <c r="AM832" s="192"/>
      <c r="AN832" s="192"/>
      <c r="AO832" s="192"/>
      <c r="AP832" s="192"/>
      <c r="AQ832" s="192"/>
      <c r="AR832" s="192"/>
      <c r="AS832" s="192"/>
      <c r="AT832" s="192"/>
      <c r="AU832" s="192"/>
      <c r="AV832" s="192"/>
    </row>
    <row r="833">
      <c r="A833" s="192"/>
      <c r="B833" s="192"/>
      <c r="C833" s="192"/>
      <c r="D833" s="192"/>
      <c r="E833" s="192"/>
      <c r="F833" s="192"/>
      <c r="G833" s="192"/>
      <c r="H833" s="192"/>
      <c r="I833" s="192"/>
      <c r="J833" s="192"/>
      <c r="K833" s="192"/>
      <c r="L833" s="192"/>
      <c r="M833" s="192"/>
      <c r="N833" s="192"/>
      <c r="O833" s="192"/>
      <c r="P833" s="192"/>
      <c r="Q833" s="192"/>
      <c r="R833" s="192"/>
      <c r="S833" s="192"/>
      <c r="T833" s="192"/>
      <c r="U833" s="192"/>
      <c r="V833" s="192"/>
      <c r="W833" s="192"/>
      <c r="X833" s="192"/>
      <c r="Y833" s="192"/>
      <c r="Z833" s="192"/>
      <c r="AA833" s="192"/>
      <c r="AB833" s="192"/>
      <c r="AC833" s="192"/>
      <c r="AD833" s="192"/>
      <c r="AE833" s="192"/>
      <c r="AF833" s="192"/>
      <c r="AG833" s="192"/>
      <c r="AH833" s="192"/>
      <c r="AI833" s="192"/>
      <c r="AJ833" s="192"/>
      <c r="AK833" s="192"/>
      <c r="AL833" s="192"/>
      <c r="AM833" s="192"/>
      <c r="AN833" s="192"/>
      <c r="AO833" s="192"/>
      <c r="AP833" s="192"/>
      <c r="AQ833" s="192"/>
      <c r="AR833" s="192"/>
      <c r="AS833" s="192"/>
      <c r="AT833" s="192"/>
      <c r="AU833" s="192"/>
      <c r="AV833" s="192"/>
    </row>
    <row r="834">
      <c r="A834" s="192"/>
      <c r="B834" s="192"/>
      <c r="C834" s="192"/>
      <c r="D834" s="192"/>
      <c r="E834" s="192"/>
      <c r="F834" s="192"/>
      <c r="G834" s="192"/>
      <c r="H834" s="192"/>
      <c r="I834" s="192"/>
      <c r="J834" s="192"/>
      <c r="K834" s="192"/>
      <c r="L834" s="192"/>
      <c r="M834" s="192"/>
      <c r="N834" s="192"/>
      <c r="O834" s="192"/>
      <c r="P834" s="192"/>
      <c r="Q834" s="192"/>
      <c r="R834" s="192"/>
      <c r="S834" s="192"/>
      <c r="T834" s="192"/>
      <c r="U834" s="192"/>
      <c r="V834" s="192"/>
      <c r="W834" s="192"/>
      <c r="X834" s="192"/>
      <c r="Y834" s="192"/>
      <c r="Z834" s="192"/>
      <c r="AA834" s="192"/>
      <c r="AB834" s="192"/>
      <c r="AC834" s="192"/>
      <c r="AD834" s="192"/>
      <c r="AE834" s="192"/>
      <c r="AF834" s="192"/>
      <c r="AG834" s="192"/>
      <c r="AH834" s="192"/>
      <c r="AI834" s="192"/>
      <c r="AJ834" s="192"/>
      <c r="AK834" s="192"/>
      <c r="AL834" s="192"/>
      <c r="AM834" s="192"/>
      <c r="AN834" s="192"/>
      <c r="AO834" s="192"/>
      <c r="AP834" s="192"/>
      <c r="AQ834" s="192"/>
      <c r="AR834" s="192"/>
      <c r="AS834" s="192"/>
      <c r="AT834" s="192"/>
      <c r="AU834" s="192"/>
      <c r="AV834" s="192"/>
    </row>
    <row r="835">
      <c r="A835" s="192"/>
      <c r="B835" s="192"/>
      <c r="C835" s="192"/>
      <c r="D835" s="192"/>
      <c r="E835" s="192"/>
      <c r="F835" s="192"/>
      <c r="G835" s="192"/>
      <c r="H835" s="192"/>
      <c r="I835" s="192"/>
      <c r="J835" s="192"/>
      <c r="K835" s="192"/>
      <c r="L835" s="192"/>
      <c r="M835" s="192"/>
      <c r="N835" s="192"/>
      <c r="O835" s="192"/>
      <c r="P835" s="192"/>
      <c r="Q835" s="192"/>
      <c r="R835" s="192"/>
      <c r="S835" s="192"/>
      <c r="T835" s="192"/>
      <c r="U835" s="192"/>
      <c r="V835" s="192"/>
      <c r="W835" s="192"/>
      <c r="X835" s="192"/>
      <c r="Y835" s="192"/>
      <c r="Z835" s="192"/>
      <c r="AA835" s="192"/>
      <c r="AB835" s="192"/>
      <c r="AC835" s="192"/>
      <c r="AD835" s="192"/>
      <c r="AE835" s="192"/>
      <c r="AF835" s="192"/>
      <c r="AG835" s="192"/>
      <c r="AH835" s="192"/>
      <c r="AI835" s="192"/>
      <c r="AJ835" s="192"/>
      <c r="AK835" s="192"/>
      <c r="AL835" s="192"/>
      <c r="AM835" s="192"/>
      <c r="AN835" s="192"/>
      <c r="AO835" s="192"/>
      <c r="AP835" s="192"/>
      <c r="AQ835" s="192"/>
      <c r="AR835" s="192"/>
      <c r="AS835" s="192"/>
      <c r="AT835" s="192"/>
      <c r="AU835" s="192"/>
      <c r="AV835" s="192"/>
    </row>
    <row r="836">
      <c r="A836" s="192"/>
      <c r="B836" s="192"/>
      <c r="C836" s="192"/>
      <c r="D836" s="192"/>
      <c r="E836" s="192"/>
      <c r="F836" s="192"/>
      <c r="G836" s="192"/>
      <c r="H836" s="192"/>
      <c r="I836" s="192"/>
      <c r="J836" s="192"/>
      <c r="K836" s="192"/>
      <c r="L836" s="192"/>
      <c r="M836" s="192"/>
      <c r="N836" s="192"/>
      <c r="O836" s="192"/>
      <c r="P836" s="192"/>
      <c r="Q836" s="192"/>
      <c r="R836" s="192"/>
      <c r="S836" s="192"/>
      <c r="T836" s="192"/>
      <c r="U836" s="192"/>
      <c r="V836" s="192"/>
      <c r="W836" s="192"/>
      <c r="X836" s="192"/>
      <c r="Y836" s="192"/>
      <c r="Z836" s="192"/>
      <c r="AA836" s="192"/>
      <c r="AB836" s="192"/>
      <c r="AC836" s="192"/>
      <c r="AD836" s="192"/>
      <c r="AE836" s="192"/>
      <c r="AF836" s="192"/>
      <c r="AG836" s="192"/>
      <c r="AH836" s="192"/>
      <c r="AI836" s="192"/>
      <c r="AJ836" s="192"/>
      <c r="AK836" s="192"/>
      <c r="AL836" s="192"/>
      <c r="AM836" s="192"/>
      <c r="AN836" s="192"/>
      <c r="AO836" s="192"/>
      <c r="AP836" s="192"/>
      <c r="AQ836" s="192"/>
      <c r="AR836" s="192"/>
      <c r="AS836" s="192"/>
      <c r="AT836" s="192"/>
      <c r="AU836" s="192"/>
      <c r="AV836" s="192"/>
    </row>
    <row r="837">
      <c r="A837" s="192"/>
      <c r="B837" s="192"/>
      <c r="C837" s="192"/>
      <c r="D837" s="192"/>
      <c r="E837" s="192"/>
      <c r="F837" s="192"/>
      <c r="G837" s="192"/>
      <c r="H837" s="192"/>
      <c r="I837" s="192"/>
      <c r="J837" s="192"/>
      <c r="K837" s="192"/>
      <c r="L837" s="192"/>
      <c r="M837" s="192"/>
      <c r="N837" s="192"/>
      <c r="O837" s="192"/>
      <c r="P837" s="192"/>
      <c r="Q837" s="192"/>
      <c r="R837" s="192"/>
      <c r="S837" s="192"/>
      <c r="T837" s="192"/>
      <c r="U837" s="192"/>
      <c r="V837" s="192"/>
      <c r="W837" s="192"/>
      <c r="X837" s="192"/>
      <c r="Y837" s="192"/>
      <c r="Z837" s="192"/>
      <c r="AA837" s="192"/>
      <c r="AB837" s="192"/>
      <c r="AC837" s="192"/>
      <c r="AD837" s="192"/>
      <c r="AE837" s="192"/>
      <c r="AF837" s="192"/>
      <c r="AG837" s="192"/>
      <c r="AH837" s="192"/>
      <c r="AI837" s="192"/>
      <c r="AJ837" s="192"/>
      <c r="AK837" s="192"/>
      <c r="AL837" s="192"/>
      <c r="AM837" s="192"/>
      <c r="AN837" s="192"/>
      <c r="AO837" s="192"/>
      <c r="AP837" s="192"/>
      <c r="AQ837" s="192"/>
      <c r="AR837" s="192"/>
      <c r="AS837" s="192"/>
      <c r="AT837" s="192"/>
      <c r="AU837" s="192"/>
      <c r="AV837" s="192"/>
    </row>
    <row r="838">
      <c r="A838" s="192"/>
      <c r="B838" s="192"/>
      <c r="C838" s="192"/>
      <c r="D838" s="192"/>
      <c r="E838" s="192"/>
      <c r="F838" s="192"/>
      <c r="G838" s="192"/>
      <c r="H838" s="192"/>
      <c r="I838" s="192"/>
      <c r="J838" s="192"/>
      <c r="K838" s="192"/>
      <c r="L838" s="192"/>
      <c r="M838" s="192"/>
      <c r="N838" s="192"/>
      <c r="O838" s="192"/>
      <c r="P838" s="192"/>
      <c r="Q838" s="192"/>
      <c r="R838" s="192"/>
      <c r="S838" s="192"/>
      <c r="T838" s="192"/>
      <c r="U838" s="192"/>
      <c r="V838" s="192"/>
      <c r="W838" s="192"/>
      <c r="X838" s="192"/>
      <c r="Y838" s="192"/>
      <c r="Z838" s="192"/>
      <c r="AA838" s="192"/>
      <c r="AB838" s="192"/>
      <c r="AC838" s="192"/>
      <c r="AD838" s="192"/>
      <c r="AE838" s="192"/>
      <c r="AF838" s="192"/>
      <c r="AG838" s="192"/>
      <c r="AH838" s="192"/>
      <c r="AI838" s="192"/>
      <c r="AJ838" s="192"/>
      <c r="AK838" s="192"/>
      <c r="AL838" s="192"/>
      <c r="AM838" s="192"/>
      <c r="AN838" s="192"/>
      <c r="AO838" s="192"/>
      <c r="AP838" s="192"/>
      <c r="AQ838" s="192"/>
      <c r="AR838" s="192"/>
      <c r="AS838" s="192"/>
      <c r="AT838" s="192"/>
      <c r="AU838" s="192"/>
      <c r="AV838" s="192"/>
    </row>
    <row r="839">
      <c r="A839" s="192"/>
      <c r="B839" s="192"/>
      <c r="C839" s="192"/>
      <c r="D839" s="192"/>
      <c r="E839" s="192"/>
      <c r="F839" s="192"/>
      <c r="G839" s="192"/>
      <c r="H839" s="192"/>
      <c r="I839" s="192"/>
      <c r="J839" s="192"/>
      <c r="K839" s="192"/>
      <c r="L839" s="192"/>
      <c r="M839" s="192"/>
      <c r="N839" s="192"/>
      <c r="O839" s="192"/>
      <c r="P839" s="192"/>
      <c r="Q839" s="192"/>
      <c r="R839" s="192"/>
      <c r="S839" s="192"/>
      <c r="T839" s="192"/>
      <c r="U839" s="192"/>
      <c r="V839" s="192"/>
      <c r="W839" s="192"/>
      <c r="X839" s="192"/>
      <c r="Y839" s="192"/>
      <c r="Z839" s="192"/>
      <c r="AA839" s="192"/>
      <c r="AB839" s="192"/>
      <c r="AC839" s="192"/>
      <c r="AD839" s="192"/>
      <c r="AE839" s="192"/>
      <c r="AF839" s="192"/>
      <c r="AG839" s="192"/>
      <c r="AH839" s="192"/>
      <c r="AI839" s="192"/>
      <c r="AJ839" s="192"/>
      <c r="AK839" s="192"/>
      <c r="AL839" s="192"/>
      <c r="AM839" s="192"/>
      <c r="AN839" s="192"/>
      <c r="AO839" s="192"/>
      <c r="AP839" s="192"/>
      <c r="AQ839" s="192"/>
      <c r="AR839" s="192"/>
      <c r="AS839" s="192"/>
      <c r="AT839" s="192"/>
      <c r="AU839" s="192"/>
      <c r="AV839" s="192"/>
    </row>
    <row r="840">
      <c r="A840" s="192"/>
      <c r="B840" s="192"/>
      <c r="C840" s="192"/>
      <c r="D840" s="192"/>
      <c r="E840" s="192"/>
      <c r="F840" s="192"/>
      <c r="G840" s="192"/>
      <c r="H840" s="192"/>
      <c r="I840" s="192"/>
      <c r="J840" s="192"/>
      <c r="K840" s="192"/>
      <c r="L840" s="192"/>
      <c r="M840" s="192"/>
      <c r="N840" s="192"/>
      <c r="O840" s="192"/>
      <c r="P840" s="192"/>
      <c r="Q840" s="192"/>
      <c r="R840" s="192"/>
      <c r="S840" s="192"/>
      <c r="T840" s="192"/>
      <c r="U840" s="192"/>
      <c r="V840" s="192"/>
      <c r="W840" s="192"/>
      <c r="X840" s="192"/>
      <c r="Y840" s="192"/>
      <c r="Z840" s="192"/>
      <c r="AA840" s="192"/>
      <c r="AB840" s="192"/>
      <c r="AC840" s="192"/>
      <c r="AD840" s="192"/>
      <c r="AE840" s="192"/>
      <c r="AF840" s="192"/>
      <c r="AG840" s="192"/>
      <c r="AH840" s="192"/>
      <c r="AI840" s="192"/>
      <c r="AJ840" s="192"/>
      <c r="AK840" s="192"/>
      <c r="AL840" s="192"/>
      <c r="AM840" s="192"/>
      <c r="AN840" s="192"/>
      <c r="AO840" s="192"/>
      <c r="AP840" s="192"/>
      <c r="AQ840" s="192"/>
      <c r="AR840" s="192"/>
      <c r="AS840" s="192"/>
      <c r="AT840" s="192"/>
      <c r="AU840" s="192"/>
      <c r="AV840" s="192"/>
    </row>
    <row r="841">
      <c r="A841" s="192"/>
      <c r="B841" s="192"/>
      <c r="C841" s="192"/>
      <c r="D841" s="192"/>
      <c r="E841" s="192"/>
      <c r="F841" s="192"/>
      <c r="G841" s="192"/>
      <c r="H841" s="192"/>
      <c r="I841" s="192"/>
      <c r="J841" s="192"/>
      <c r="K841" s="192"/>
      <c r="L841" s="192"/>
      <c r="M841" s="192"/>
      <c r="N841" s="192"/>
      <c r="O841" s="192"/>
      <c r="P841" s="192"/>
      <c r="Q841" s="192"/>
      <c r="R841" s="192"/>
      <c r="S841" s="192"/>
      <c r="T841" s="192"/>
      <c r="U841" s="192"/>
      <c r="V841" s="192"/>
      <c r="W841" s="192"/>
      <c r="X841" s="192"/>
      <c r="Y841" s="192"/>
      <c r="Z841" s="192"/>
      <c r="AA841" s="192"/>
      <c r="AB841" s="192"/>
      <c r="AC841" s="192"/>
      <c r="AD841" s="192"/>
      <c r="AE841" s="192"/>
      <c r="AF841" s="192"/>
      <c r="AG841" s="192"/>
      <c r="AH841" s="192"/>
      <c r="AI841" s="192"/>
      <c r="AJ841" s="192"/>
      <c r="AK841" s="192"/>
      <c r="AL841" s="192"/>
      <c r="AM841" s="192"/>
      <c r="AN841" s="192"/>
      <c r="AO841" s="192"/>
      <c r="AP841" s="192"/>
      <c r="AQ841" s="192"/>
      <c r="AR841" s="192"/>
      <c r="AS841" s="192"/>
      <c r="AT841" s="192"/>
      <c r="AU841" s="192"/>
      <c r="AV841" s="192"/>
    </row>
    <row r="842">
      <c r="A842" s="192"/>
      <c r="B842" s="192"/>
      <c r="C842" s="192"/>
      <c r="D842" s="192"/>
      <c r="E842" s="192"/>
      <c r="F842" s="192"/>
      <c r="G842" s="192"/>
      <c r="H842" s="192"/>
      <c r="I842" s="192"/>
      <c r="J842" s="192"/>
      <c r="K842" s="192"/>
      <c r="L842" s="192"/>
      <c r="M842" s="192"/>
      <c r="N842" s="192"/>
      <c r="O842" s="192"/>
      <c r="P842" s="192"/>
      <c r="Q842" s="192"/>
      <c r="R842" s="192"/>
      <c r="S842" s="192"/>
      <c r="T842" s="192"/>
      <c r="U842" s="192"/>
      <c r="V842" s="192"/>
      <c r="W842" s="192"/>
      <c r="X842" s="192"/>
      <c r="Y842" s="192"/>
      <c r="Z842" s="192"/>
      <c r="AA842" s="192"/>
      <c r="AB842" s="192"/>
      <c r="AC842" s="192"/>
      <c r="AD842" s="192"/>
      <c r="AE842" s="192"/>
      <c r="AF842" s="192"/>
      <c r="AG842" s="192"/>
      <c r="AH842" s="192"/>
      <c r="AI842" s="192"/>
      <c r="AJ842" s="192"/>
      <c r="AK842" s="192"/>
      <c r="AL842" s="192"/>
      <c r="AM842" s="192"/>
      <c r="AN842" s="192"/>
      <c r="AO842" s="192"/>
      <c r="AP842" s="192"/>
      <c r="AQ842" s="192"/>
      <c r="AR842" s="192"/>
      <c r="AS842" s="192"/>
      <c r="AT842" s="192"/>
      <c r="AU842" s="192"/>
      <c r="AV842" s="192"/>
    </row>
    <row r="843">
      <c r="A843" s="192"/>
      <c r="B843" s="192"/>
      <c r="C843" s="192"/>
      <c r="D843" s="192"/>
      <c r="E843" s="192"/>
      <c r="F843" s="192"/>
      <c r="G843" s="192"/>
      <c r="H843" s="192"/>
      <c r="I843" s="192"/>
      <c r="J843" s="192"/>
      <c r="K843" s="192"/>
      <c r="L843" s="192"/>
      <c r="M843" s="192"/>
      <c r="N843" s="192"/>
      <c r="O843" s="192"/>
      <c r="P843" s="192"/>
      <c r="Q843" s="192"/>
      <c r="R843" s="192"/>
      <c r="S843" s="192"/>
      <c r="T843" s="192"/>
      <c r="U843" s="192"/>
      <c r="V843" s="192"/>
      <c r="W843" s="192"/>
      <c r="X843" s="192"/>
      <c r="Y843" s="192"/>
      <c r="Z843" s="192"/>
      <c r="AA843" s="192"/>
      <c r="AB843" s="192"/>
      <c r="AC843" s="192"/>
      <c r="AD843" s="192"/>
      <c r="AE843" s="192"/>
      <c r="AF843" s="192"/>
      <c r="AG843" s="192"/>
      <c r="AH843" s="192"/>
      <c r="AI843" s="192"/>
      <c r="AJ843" s="192"/>
      <c r="AK843" s="192"/>
      <c r="AL843" s="192"/>
      <c r="AM843" s="192"/>
      <c r="AN843" s="192"/>
      <c r="AO843" s="192"/>
      <c r="AP843" s="192"/>
      <c r="AQ843" s="192"/>
      <c r="AR843" s="192"/>
      <c r="AS843" s="192"/>
      <c r="AT843" s="192"/>
      <c r="AU843" s="192"/>
      <c r="AV843" s="192"/>
    </row>
    <row r="844">
      <c r="A844" s="192"/>
      <c r="B844" s="192"/>
      <c r="C844" s="192"/>
      <c r="D844" s="192"/>
      <c r="E844" s="192"/>
      <c r="F844" s="192"/>
      <c r="G844" s="192"/>
      <c r="H844" s="192"/>
      <c r="I844" s="192"/>
      <c r="J844" s="192"/>
      <c r="K844" s="192"/>
      <c r="L844" s="192"/>
      <c r="M844" s="192"/>
      <c r="N844" s="192"/>
      <c r="O844" s="192"/>
      <c r="P844" s="192"/>
      <c r="Q844" s="192"/>
      <c r="R844" s="192"/>
      <c r="S844" s="192"/>
      <c r="T844" s="192"/>
      <c r="U844" s="192"/>
      <c r="V844" s="192"/>
      <c r="W844" s="192"/>
      <c r="X844" s="192"/>
      <c r="Y844" s="192"/>
      <c r="Z844" s="192"/>
      <c r="AA844" s="192"/>
      <c r="AB844" s="192"/>
      <c r="AC844" s="192"/>
      <c r="AD844" s="192"/>
      <c r="AE844" s="192"/>
      <c r="AF844" s="192"/>
      <c r="AG844" s="192"/>
      <c r="AH844" s="192"/>
      <c r="AI844" s="192"/>
      <c r="AJ844" s="192"/>
      <c r="AK844" s="192"/>
      <c r="AL844" s="192"/>
      <c r="AM844" s="192"/>
      <c r="AN844" s="192"/>
      <c r="AO844" s="192"/>
      <c r="AP844" s="192"/>
      <c r="AQ844" s="192"/>
      <c r="AR844" s="192"/>
      <c r="AS844" s="192"/>
      <c r="AT844" s="192"/>
      <c r="AU844" s="192"/>
      <c r="AV844" s="192"/>
    </row>
    <row r="845">
      <c r="A845" s="192"/>
      <c r="B845" s="192"/>
      <c r="C845" s="192"/>
      <c r="D845" s="192"/>
      <c r="E845" s="192"/>
      <c r="F845" s="192"/>
      <c r="G845" s="192"/>
      <c r="H845" s="192"/>
      <c r="I845" s="192"/>
      <c r="J845" s="192"/>
      <c r="K845" s="192"/>
      <c r="L845" s="192"/>
      <c r="M845" s="192"/>
      <c r="N845" s="192"/>
      <c r="O845" s="192"/>
      <c r="P845" s="192"/>
      <c r="Q845" s="192"/>
      <c r="R845" s="192"/>
      <c r="S845" s="192"/>
      <c r="T845" s="192"/>
      <c r="U845" s="192"/>
      <c r="V845" s="192"/>
      <c r="W845" s="192"/>
      <c r="X845" s="192"/>
      <c r="Y845" s="192"/>
      <c r="Z845" s="192"/>
      <c r="AA845" s="192"/>
      <c r="AB845" s="192"/>
      <c r="AC845" s="192"/>
      <c r="AD845" s="192"/>
      <c r="AE845" s="192"/>
      <c r="AF845" s="192"/>
      <c r="AG845" s="192"/>
      <c r="AH845" s="192"/>
      <c r="AI845" s="192"/>
      <c r="AJ845" s="192"/>
      <c r="AK845" s="192"/>
      <c r="AL845" s="192"/>
      <c r="AM845" s="192"/>
      <c r="AN845" s="192"/>
      <c r="AO845" s="192"/>
      <c r="AP845" s="192"/>
      <c r="AQ845" s="192"/>
      <c r="AR845" s="192"/>
      <c r="AS845" s="192"/>
      <c r="AT845" s="192"/>
      <c r="AU845" s="192"/>
      <c r="AV845" s="192"/>
    </row>
    <row r="846">
      <c r="A846" s="192"/>
      <c r="B846" s="192"/>
      <c r="C846" s="192"/>
      <c r="D846" s="192"/>
      <c r="E846" s="192"/>
      <c r="F846" s="192"/>
      <c r="G846" s="192"/>
      <c r="H846" s="192"/>
      <c r="I846" s="192"/>
      <c r="J846" s="192"/>
      <c r="K846" s="192"/>
      <c r="L846" s="192"/>
      <c r="M846" s="192"/>
      <c r="N846" s="192"/>
      <c r="O846" s="192"/>
      <c r="P846" s="192"/>
      <c r="Q846" s="192"/>
      <c r="R846" s="192"/>
      <c r="S846" s="192"/>
      <c r="T846" s="192"/>
      <c r="U846" s="192"/>
      <c r="V846" s="192"/>
      <c r="W846" s="192"/>
      <c r="X846" s="192"/>
      <c r="Y846" s="192"/>
      <c r="Z846" s="192"/>
      <c r="AA846" s="192"/>
      <c r="AB846" s="192"/>
      <c r="AC846" s="192"/>
      <c r="AD846" s="192"/>
      <c r="AE846" s="192"/>
      <c r="AF846" s="192"/>
      <c r="AG846" s="192"/>
      <c r="AH846" s="192"/>
      <c r="AI846" s="192"/>
      <c r="AJ846" s="192"/>
      <c r="AK846" s="192"/>
      <c r="AL846" s="192"/>
      <c r="AM846" s="192"/>
      <c r="AN846" s="192"/>
      <c r="AO846" s="192"/>
      <c r="AP846" s="192"/>
      <c r="AQ846" s="192"/>
      <c r="AR846" s="192"/>
      <c r="AS846" s="192"/>
      <c r="AT846" s="192"/>
      <c r="AU846" s="192"/>
      <c r="AV846" s="192"/>
    </row>
    <row r="847">
      <c r="A847" s="192"/>
      <c r="B847" s="192"/>
      <c r="C847" s="192"/>
      <c r="D847" s="192"/>
      <c r="E847" s="192"/>
      <c r="F847" s="192"/>
      <c r="G847" s="192"/>
      <c r="H847" s="192"/>
      <c r="I847" s="192"/>
      <c r="J847" s="192"/>
      <c r="K847" s="192"/>
      <c r="L847" s="192"/>
      <c r="M847" s="192"/>
      <c r="N847" s="192"/>
      <c r="O847" s="192"/>
      <c r="P847" s="192"/>
      <c r="Q847" s="192"/>
      <c r="R847" s="192"/>
      <c r="S847" s="192"/>
      <c r="T847" s="192"/>
      <c r="U847" s="192"/>
      <c r="V847" s="192"/>
      <c r="W847" s="192"/>
      <c r="X847" s="192"/>
      <c r="Y847" s="192"/>
      <c r="Z847" s="192"/>
      <c r="AA847" s="192"/>
      <c r="AB847" s="192"/>
      <c r="AC847" s="192"/>
      <c r="AD847" s="192"/>
      <c r="AE847" s="192"/>
      <c r="AF847" s="192"/>
      <c r="AG847" s="192"/>
      <c r="AH847" s="192"/>
      <c r="AI847" s="192"/>
      <c r="AJ847" s="192"/>
      <c r="AK847" s="192"/>
      <c r="AL847" s="192"/>
      <c r="AM847" s="192"/>
      <c r="AN847" s="192"/>
      <c r="AO847" s="192"/>
      <c r="AP847" s="192"/>
      <c r="AQ847" s="192"/>
      <c r="AR847" s="192"/>
      <c r="AS847" s="192"/>
      <c r="AT847" s="192"/>
      <c r="AU847" s="192"/>
      <c r="AV847" s="192"/>
    </row>
    <row r="848">
      <c r="A848" s="192"/>
      <c r="B848" s="192"/>
      <c r="C848" s="192"/>
      <c r="D848" s="192"/>
      <c r="E848" s="192"/>
      <c r="F848" s="192"/>
      <c r="G848" s="192"/>
      <c r="H848" s="192"/>
      <c r="I848" s="192"/>
      <c r="J848" s="192"/>
      <c r="K848" s="192"/>
      <c r="L848" s="192"/>
      <c r="M848" s="192"/>
      <c r="N848" s="192"/>
      <c r="O848" s="192"/>
      <c r="P848" s="192"/>
      <c r="Q848" s="192"/>
      <c r="R848" s="192"/>
      <c r="S848" s="192"/>
      <c r="T848" s="192"/>
      <c r="U848" s="192"/>
      <c r="V848" s="192"/>
      <c r="W848" s="192"/>
      <c r="X848" s="192"/>
      <c r="Y848" s="192"/>
      <c r="Z848" s="192"/>
      <c r="AA848" s="192"/>
      <c r="AB848" s="192"/>
      <c r="AC848" s="192"/>
      <c r="AD848" s="192"/>
      <c r="AE848" s="192"/>
      <c r="AF848" s="192"/>
      <c r="AG848" s="192"/>
      <c r="AH848" s="192"/>
      <c r="AI848" s="192"/>
      <c r="AJ848" s="192"/>
      <c r="AK848" s="192"/>
      <c r="AL848" s="192"/>
      <c r="AM848" s="192"/>
      <c r="AN848" s="192"/>
      <c r="AO848" s="192"/>
      <c r="AP848" s="192"/>
      <c r="AQ848" s="192"/>
      <c r="AR848" s="192"/>
      <c r="AS848" s="192"/>
      <c r="AT848" s="192"/>
      <c r="AU848" s="192"/>
      <c r="AV848" s="192"/>
    </row>
    <row r="849">
      <c r="A849" s="192"/>
      <c r="B849" s="192"/>
      <c r="C849" s="192"/>
      <c r="D849" s="192"/>
      <c r="E849" s="192"/>
      <c r="F849" s="192"/>
      <c r="G849" s="192"/>
      <c r="H849" s="192"/>
      <c r="I849" s="192"/>
      <c r="J849" s="192"/>
      <c r="K849" s="192"/>
      <c r="L849" s="192"/>
      <c r="M849" s="192"/>
      <c r="N849" s="192"/>
      <c r="O849" s="192"/>
      <c r="P849" s="192"/>
      <c r="Q849" s="192"/>
      <c r="R849" s="192"/>
      <c r="S849" s="192"/>
      <c r="T849" s="192"/>
      <c r="U849" s="192"/>
      <c r="V849" s="192"/>
      <c r="W849" s="192"/>
      <c r="X849" s="192"/>
      <c r="Y849" s="192"/>
      <c r="Z849" s="192"/>
      <c r="AA849" s="192"/>
      <c r="AB849" s="192"/>
      <c r="AC849" s="192"/>
      <c r="AD849" s="192"/>
      <c r="AE849" s="192"/>
      <c r="AF849" s="192"/>
      <c r="AG849" s="192"/>
      <c r="AH849" s="192"/>
      <c r="AI849" s="192"/>
      <c r="AJ849" s="192"/>
      <c r="AK849" s="192"/>
      <c r="AL849" s="192"/>
      <c r="AM849" s="192"/>
      <c r="AN849" s="192"/>
      <c r="AO849" s="192"/>
      <c r="AP849" s="192"/>
      <c r="AQ849" s="192"/>
      <c r="AR849" s="192"/>
      <c r="AS849" s="192"/>
      <c r="AT849" s="192"/>
      <c r="AU849" s="192"/>
      <c r="AV849" s="192"/>
    </row>
    <row r="850">
      <c r="A850" s="192"/>
      <c r="B850" s="192"/>
      <c r="C850" s="192"/>
      <c r="D850" s="192"/>
      <c r="E850" s="192"/>
      <c r="F850" s="192"/>
      <c r="G850" s="192"/>
      <c r="H850" s="192"/>
      <c r="I850" s="192"/>
      <c r="J850" s="192"/>
      <c r="K850" s="192"/>
      <c r="L850" s="192"/>
      <c r="M850" s="192"/>
      <c r="N850" s="192"/>
      <c r="O850" s="192"/>
      <c r="P850" s="192"/>
      <c r="Q850" s="192"/>
      <c r="R850" s="192"/>
      <c r="S850" s="192"/>
      <c r="T850" s="192"/>
      <c r="U850" s="192"/>
      <c r="V850" s="192"/>
      <c r="W850" s="192"/>
      <c r="X850" s="192"/>
      <c r="Y850" s="192"/>
      <c r="Z850" s="192"/>
      <c r="AA850" s="192"/>
      <c r="AB850" s="192"/>
      <c r="AC850" s="192"/>
      <c r="AD850" s="192"/>
      <c r="AE850" s="192"/>
      <c r="AF850" s="192"/>
      <c r="AG850" s="192"/>
      <c r="AH850" s="192"/>
      <c r="AI850" s="192"/>
      <c r="AJ850" s="192"/>
      <c r="AK850" s="192"/>
      <c r="AL850" s="192"/>
      <c r="AM850" s="192"/>
      <c r="AN850" s="192"/>
      <c r="AO850" s="192"/>
      <c r="AP850" s="192"/>
      <c r="AQ850" s="192"/>
      <c r="AR850" s="192"/>
      <c r="AS850" s="192"/>
      <c r="AT850" s="192"/>
      <c r="AU850" s="192"/>
      <c r="AV850" s="192"/>
    </row>
    <row r="851">
      <c r="A851" s="192"/>
      <c r="B851" s="192"/>
      <c r="C851" s="192"/>
      <c r="D851" s="192"/>
      <c r="E851" s="192"/>
      <c r="F851" s="192"/>
      <c r="G851" s="192"/>
      <c r="H851" s="192"/>
      <c r="I851" s="192"/>
      <c r="J851" s="192"/>
      <c r="K851" s="192"/>
      <c r="L851" s="192"/>
      <c r="M851" s="192"/>
      <c r="N851" s="192"/>
      <c r="O851" s="192"/>
      <c r="P851" s="192"/>
      <c r="Q851" s="192"/>
      <c r="R851" s="192"/>
      <c r="S851" s="192"/>
      <c r="T851" s="192"/>
      <c r="U851" s="192"/>
      <c r="V851" s="192"/>
      <c r="W851" s="192"/>
      <c r="X851" s="192"/>
      <c r="Y851" s="192"/>
      <c r="Z851" s="192"/>
      <c r="AA851" s="192"/>
      <c r="AB851" s="192"/>
      <c r="AC851" s="192"/>
      <c r="AD851" s="192"/>
      <c r="AE851" s="192"/>
      <c r="AF851" s="192"/>
      <c r="AG851" s="192"/>
      <c r="AH851" s="192"/>
      <c r="AI851" s="192"/>
      <c r="AJ851" s="192"/>
      <c r="AK851" s="192"/>
      <c r="AL851" s="192"/>
      <c r="AM851" s="192"/>
      <c r="AN851" s="192"/>
      <c r="AO851" s="192"/>
      <c r="AP851" s="192"/>
      <c r="AQ851" s="192"/>
      <c r="AR851" s="192"/>
      <c r="AS851" s="192"/>
      <c r="AT851" s="192"/>
      <c r="AU851" s="192"/>
      <c r="AV851" s="192"/>
    </row>
    <row r="852">
      <c r="A852" s="192"/>
      <c r="B852" s="192"/>
      <c r="C852" s="192"/>
      <c r="D852" s="192"/>
      <c r="E852" s="192"/>
      <c r="F852" s="192"/>
      <c r="G852" s="192"/>
      <c r="H852" s="192"/>
      <c r="I852" s="192"/>
      <c r="J852" s="192"/>
      <c r="K852" s="192"/>
      <c r="L852" s="192"/>
      <c r="M852" s="192"/>
      <c r="N852" s="192"/>
      <c r="O852" s="192"/>
      <c r="P852" s="192"/>
      <c r="Q852" s="192"/>
      <c r="R852" s="192"/>
      <c r="S852" s="192"/>
      <c r="T852" s="192"/>
      <c r="U852" s="192"/>
      <c r="V852" s="192"/>
      <c r="W852" s="192"/>
      <c r="X852" s="192"/>
      <c r="Y852" s="192"/>
      <c r="Z852" s="192"/>
      <c r="AA852" s="192"/>
      <c r="AB852" s="192"/>
      <c r="AC852" s="192"/>
      <c r="AD852" s="192"/>
      <c r="AE852" s="192"/>
      <c r="AF852" s="192"/>
      <c r="AG852" s="192"/>
      <c r="AH852" s="192"/>
      <c r="AI852" s="192"/>
      <c r="AJ852" s="192"/>
      <c r="AK852" s="192"/>
      <c r="AL852" s="192"/>
      <c r="AM852" s="192"/>
      <c r="AN852" s="192"/>
      <c r="AO852" s="192"/>
      <c r="AP852" s="192"/>
      <c r="AQ852" s="192"/>
      <c r="AR852" s="192"/>
      <c r="AS852" s="192"/>
      <c r="AT852" s="192"/>
      <c r="AU852" s="192"/>
      <c r="AV852" s="192"/>
    </row>
    <row r="853">
      <c r="A853" s="192"/>
      <c r="B853" s="192"/>
      <c r="C853" s="192"/>
      <c r="D853" s="192"/>
      <c r="E853" s="192"/>
      <c r="F853" s="192"/>
      <c r="G853" s="192"/>
      <c r="H853" s="192"/>
      <c r="I853" s="192"/>
      <c r="J853" s="192"/>
      <c r="K853" s="192"/>
      <c r="L853" s="192"/>
      <c r="M853" s="192"/>
      <c r="N853" s="192"/>
      <c r="O853" s="192"/>
      <c r="P853" s="192"/>
      <c r="Q853" s="192"/>
      <c r="R853" s="192"/>
      <c r="S853" s="192"/>
      <c r="T853" s="192"/>
      <c r="U853" s="192"/>
      <c r="V853" s="192"/>
      <c r="W853" s="192"/>
      <c r="X853" s="192"/>
      <c r="Y853" s="192"/>
      <c r="Z853" s="192"/>
      <c r="AA853" s="192"/>
      <c r="AB853" s="192"/>
      <c r="AC853" s="192"/>
      <c r="AD853" s="192"/>
      <c r="AE853" s="192"/>
      <c r="AF853" s="192"/>
      <c r="AG853" s="192"/>
      <c r="AH853" s="192"/>
      <c r="AI853" s="192"/>
      <c r="AJ853" s="192"/>
      <c r="AK853" s="192"/>
      <c r="AL853" s="192"/>
      <c r="AM853" s="192"/>
      <c r="AN853" s="192"/>
      <c r="AO853" s="192"/>
      <c r="AP853" s="192"/>
      <c r="AQ853" s="192"/>
      <c r="AR853" s="192"/>
      <c r="AS853" s="192"/>
      <c r="AT853" s="192"/>
      <c r="AU853" s="192"/>
      <c r="AV853" s="192"/>
    </row>
    <row r="854">
      <c r="A854" s="192"/>
      <c r="B854" s="192"/>
      <c r="C854" s="192"/>
      <c r="D854" s="192"/>
      <c r="E854" s="192"/>
      <c r="F854" s="192"/>
      <c r="G854" s="192"/>
      <c r="H854" s="192"/>
      <c r="I854" s="192"/>
      <c r="J854" s="192"/>
      <c r="K854" s="192"/>
      <c r="L854" s="192"/>
      <c r="M854" s="192"/>
      <c r="N854" s="192"/>
      <c r="O854" s="192"/>
      <c r="P854" s="192"/>
      <c r="Q854" s="192"/>
      <c r="R854" s="192"/>
      <c r="S854" s="192"/>
      <c r="T854" s="192"/>
      <c r="U854" s="192"/>
      <c r="V854" s="192"/>
      <c r="W854" s="192"/>
      <c r="X854" s="192"/>
      <c r="Y854" s="192"/>
      <c r="Z854" s="192"/>
      <c r="AA854" s="192"/>
      <c r="AB854" s="192"/>
      <c r="AC854" s="192"/>
      <c r="AD854" s="192"/>
      <c r="AE854" s="192"/>
      <c r="AF854" s="192"/>
      <c r="AG854" s="192"/>
      <c r="AH854" s="192"/>
      <c r="AI854" s="192"/>
      <c r="AJ854" s="192"/>
      <c r="AK854" s="192"/>
      <c r="AL854" s="192"/>
      <c r="AM854" s="192"/>
      <c r="AN854" s="192"/>
      <c r="AO854" s="192"/>
      <c r="AP854" s="192"/>
      <c r="AQ854" s="192"/>
      <c r="AR854" s="192"/>
      <c r="AS854" s="192"/>
      <c r="AT854" s="192"/>
      <c r="AU854" s="192"/>
      <c r="AV854" s="192"/>
    </row>
    <row r="855">
      <c r="A855" s="192"/>
      <c r="B855" s="192"/>
      <c r="C855" s="192"/>
      <c r="D855" s="192"/>
      <c r="E855" s="192"/>
      <c r="F855" s="192"/>
      <c r="G855" s="192"/>
      <c r="H855" s="192"/>
      <c r="I855" s="192"/>
      <c r="J855" s="192"/>
      <c r="K855" s="192"/>
      <c r="L855" s="192"/>
      <c r="M855" s="192"/>
      <c r="N855" s="192"/>
      <c r="O855" s="192"/>
      <c r="P855" s="192"/>
      <c r="Q855" s="192"/>
      <c r="R855" s="192"/>
      <c r="S855" s="192"/>
      <c r="T855" s="192"/>
      <c r="U855" s="192"/>
      <c r="V855" s="192"/>
      <c r="W855" s="192"/>
      <c r="X855" s="192"/>
      <c r="Y855" s="192"/>
      <c r="Z855" s="192"/>
      <c r="AA855" s="192"/>
      <c r="AB855" s="192"/>
      <c r="AC855" s="192"/>
      <c r="AD855" s="192"/>
      <c r="AE855" s="192"/>
      <c r="AF855" s="192"/>
      <c r="AG855" s="192"/>
      <c r="AH855" s="192"/>
      <c r="AI855" s="192"/>
      <c r="AJ855" s="192"/>
      <c r="AK855" s="192"/>
      <c r="AL855" s="192"/>
      <c r="AM855" s="192"/>
      <c r="AN855" s="192"/>
      <c r="AO855" s="192"/>
      <c r="AP855" s="192"/>
      <c r="AQ855" s="192"/>
      <c r="AR855" s="192"/>
      <c r="AS855" s="192"/>
      <c r="AT855" s="192"/>
      <c r="AU855" s="192"/>
      <c r="AV855" s="192"/>
    </row>
    <row r="856">
      <c r="A856" s="192"/>
      <c r="B856" s="192"/>
      <c r="C856" s="192"/>
      <c r="D856" s="192"/>
      <c r="E856" s="192"/>
      <c r="F856" s="192"/>
      <c r="G856" s="192"/>
      <c r="H856" s="192"/>
      <c r="I856" s="192"/>
      <c r="J856" s="192"/>
      <c r="K856" s="192"/>
      <c r="L856" s="192"/>
      <c r="M856" s="192"/>
      <c r="N856" s="192"/>
      <c r="O856" s="192"/>
      <c r="P856" s="192"/>
      <c r="Q856" s="192"/>
      <c r="R856" s="192"/>
      <c r="S856" s="192"/>
      <c r="T856" s="192"/>
      <c r="U856" s="192"/>
      <c r="V856" s="192"/>
      <c r="W856" s="192"/>
      <c r="X856" s="192"/>
      <c r="Y856" s="192"/>
      <c r="Z856" s="192"/>
      <c r="AA856" s="192"/>
      <c r="AB856" s="192"/>
      <c r="AC856" s="192"/>
      <c r="AD856" s="192"/>
      <c r="AE856" s="192"/>
      <c r="AF856" s="192"/>
      <c r="AG856" s="192"/>
      <c r="AH856" s="192"/>
      <c r="AI856" s="192"/>
      <c r="AJ856" s="192"/>
      <c r="AK856" s="192"/>
      <c r="AL856" s="192"/>
      <c r="AM856" s="192"/>
      <c r="AN856" s="192"/>
      <c r="AO856" s="192"/>
      <c r="AP856" s="192"/>
      <c r="AQ856" s="192"/>
      <c r="AR856" s="192"/>
      <c r="AS856" s="192"/>
      <c r="AT856" s="192"/>
      <c r="AU856" s="192"/>
      <c r="AV856" s="192"/>
    </row>
    <row r="857">
      <c r="A857" s="192"/>
      <c r="B857" s="192"/>
      <c r="C857" s="192"/>
      <c r="D857" s="192"/>
      <c r="E857" s="192"/>
      <c r="F857" s="192"/>
      <c r="G857" s="192"/>
      <c r="H857" s="192"/>
      <c r="I857" s="192"/>
      <c r="J857" s="192"/>
      <c r="K857" s="192"/>
      <c r="L857" s="192"/>
      <c r="M857" s="192"/>
      <c r="N857" s="192"/>
      <c r="O857" s="192"/>
      <c r="P857" s="192"/>
      <c r="Q857" s="192"/>
      <c r="R857" s="192"/>
      <c r="S857" s="192"/>
      <c r="T857" s="192"/>
      <c r="U857" s="192"/>
      <c r="V857" s="192"/>
      <c r="W857" s="192"/>
      <c r="X857" s="192"/>
      <c r="Y857" s="192"/>
      <c r="Z857" s="192"/>
      <c r="AA857" s="192"/>
      <c r="AB857" s="192"/>
      <c r="AC857" s="192"/>
      <c r="AD857" s="192"/>
      <c r="AE857" s="192"/>
      <c r="AF857" s="192"/>
      <c r="AG857" s="192"/>
      <c r="AH857" s="192"/>
      <c r="AI857" s="192"/>
      <c r="AJ857" s="192"/>
      <c r="AK857" s="192"/>
      <c r="AL857" s="192"/>
      <c r="AM857" s="192"/>
      <c r="AN857" s="192"/>
      <c r="AO857" s="192"/>
      <c r="AP857" s="192"/>
      <c r="AQ857" s="192"/>
      <c r="AR857" s="192"/>
      <c r="AS857" s="192"/>
      <c r="AT857" s="192"/>
      <c r="AU857" s="192"/>
      <c r="AV857" s="192"/>
    </row>
    <row r="858">
      <c r="A858" s="192"/>
      <c r="B858" s="192"/>
      <c r="C858" s="192"/>
      <c r="D858" s="192"/>
      <c r="E858" s="192"/>
      <c r="F858" s="192"/>
      <c r="G858" s="192"/>
      <c r="H858" s="192"/>
      <c r="I858" s="192"/>
      <c r="J858" s="192"/>
      <c r="K858" s="192"/>
      <c r="L858" s="192"/>
      <c r="M858" s="192"/>
      <c r="N858" s="192"/>
      <c r="O858" s="192"/>
      <c r="P858" s="192"/>
      <c r="Q858" s="192"/>
      <c r="R858" s="192"/>
      <c r="S858" s="192"/>
      <c r="T858" s="192"/>
      <c r="U858" s="192"/>
      <c r="V858" s="192"/>
      <c r="W858" s="192"/>
      <c r="X858" s="192"/>
      <c r="Y858" s="192"/>
      <c r="Z858" s="192"/>
      <c r="AA858" s="192"/>
      <c r="AB858" s="192"/>
      <c r="AC858" s="192"/>
      <c r="AD858" s="192"/>
      <c r="AE858" s="192"/>
      <c r="AF858" s="192"/>
      <c r="AG858" s="192"/>
      <c r="AH858" s="192"/>
      <c r="AI858" s="192"/>
      <c r="AJ858" s="192"/>
      <c r="AK858" s="192"/>
      <c r="AL858" s="192"/>
      <c r="AM858" s="192"/>
      <c r="AN858" s="192"/>
      <c r="AO858" s="192"/>
      <c r="AP858" s="192"/>
      <c r="AQ858" s="192"/>
      <c r="AR858" s="192"/>
      <c r="AS858" s="192"/>
      <c r="AT858" s="192"/>
      <c r="AU858" s="192"/>
      <c r="AV858" s="192"/>
    </row>
    <row r="859">
      <c r="A859" s="192"/>
      <c r="B859" s="192"/>
      <c r="C859" s="192"/>
      <c r="D859" s="192"/>
      <c r="E859" s="192"/>
      <c r="F859" s="192"/>
      <c r="G859" s="192"/>
      <c r="H859" s="192"/>
      <c r="I859" s="192"/>
      <c r="J859" s="192"/>
      <c r="K859" s="192"/>
      <c r="L859" s="192"/>
      <c r="M859" s="192"/>
      <c r="N859" s="192"/>
      <c r="O859" s="192"/>
      <c r="P859" s="192"/>
      <c r="Q859" s="192"/>
      <c r="R859" s="192"/>
      <c r="S859" s="192"/>
      <c r="T859" s="192"/>
      <c r="U859" s="192"/>
      <c r="V859" s="192"/>
      <c r="W859" s="192"/>
      <c r="X859" s="192"/>
      <c r="Y859" s="192"/>
      <c r="Z859" s="192"/>
      <c r="AA859" s="192"/>
      <c r="AB859" s="192"/>
      <c r="AC859" s="192"/>
      <c r="AD859" s="192"/>
      <c r="AE859" s="192"/>
      <c r="AF859" s="192"/>
      <c r="AG859" s="192"/>
      <c r="AH859" s="192"/>
      <c r="AI859" s="192"/>
      <c r="AJ859" s="192"/>
      <c r="AK859" s="192"/>
      <c r="AL859" s="192"/>
      <c r="AM859" s="192"/>
      <c r="AN859" s="192"/>
      <c r="AO859" s="192"/>
      <c r="AP859" s="192"/>
      <c r="AQ859" s="192"/>
      <c r="AR859" s="192"/>
      <c r="AS859" s="192"/>
      <c r="AT859" s="192"/>
      <c r="AU859" s="192"/>
      <c r="AV859" s="192"/>
    </row>
    <row r="860">
      <c r="A860" s="192"/>
      <c r="B860" s="192"/>
      <c r="C860" s="192"/>
      <c r="D860" s="192"/>
      <c r="E860" s="192"/>
      <c r="F860" s="192"/>
      <c r="G860" s="192"/>
      <c r="H860" s="192"/>
      <c r="I860" s="192"/>
      <c r="J860" s="192"/>
      <c r="K860" s="192"/>
      <c r="L860" s="192"/>
      <c r="M860" s="192"/>
      <c r="N860" s="192"/>
      <c r="O860" s="192"/>
      <c r="P860" s="192"/>
      <c r="Q860" s="192"/>
      <c r="R860" s="192"/>
      <c r="S860" s="192"/>
      <c r="T860" s="192"/>
      <c r="U860" s="192"/>
      <c r="V860" s="192"/>
      <c r="W860" s="192"/>
      <c r="X860" s="192"/>
      <c r="Y860" s="192"/>
      <c r="Z860" s="192"/>
      <c r="AA860" s="192"/>
      <c r="AB860" s="192"/>
      <c r="AC860" s="192"/>
      <c r="AD860" s="192"/>
      <c r="AE860" s="192"/>
      <c r="AF860" s="192"/>
      <c r="AG860" s="192"/>
      <c r="AH860" s="192"/>
      <c r="AI860" s="192"/>
      <c r="AJ860" s="192"/>
      <c r="AK860" s="192"/>
      <c r="AL860" s="192"/>
      <c r="AM860" s="192"/>
      <c r="AN860" s="192"/>
      <c r="AO860" s="192"/>
      <c r="AP860" s="192"/>
      <c r="AQ860" s="192"/>
      <c r="AR860" s="192"/>
      <c r="AS860" s="192"/>
      <c r="AT860" s="192"/>
      <c r="AU860" s="192"/>
      <c r="AV860" s="192"/>
    </row>
    <row r="861">
      <c r="A861" s="192"/>
      <c r="B861" s="192"/>
      <c r="C861" s="192"/>
      <c r="D861" s="192"/>
      <c r="E861" s="192"/>
      <c r="F861" s="192"/>
      <c r="G861" s="192"/>
      <c r="H861" s="192"/>
      <c r="I861" s="192"/>
      <c r="J861" s="192"/>
      <c r="K861" s="192"/>
      <c r="L861" s="192"/>
      <c r="M861" s="192"/>
      <c r="N861" s="192"/>
      <c r="O861" s="192"/>
      <c r="P861" s="192"/>
      <c r="Q861" s="192"/>
      <c r="R861" s="192"/>
      <c r="S861" s="192"/>
      <c r="T861" s="192"/>
      <c r="U861" s="192"/>
      <c r="V861" s="192"/>
      <c r="W861" s="192"/>
      <c r="X861" s="192"/>
      <c r="Y861" s="192"/>
      <c r="Z861" s="192"/>
      <c r="AA861" s="192"/>
      <c r="AB861" s="192"/>
      <c r="AC861" s="192"/>
      <c r="AD861" s="192"/>
      <c r="AE861" s="192"/>
      <c r="AF861" s="192"/>
      <c r="AG861" s="192"/>
      <c r="AH861" s="192"/>
      <c r="AI861" s="192"/>
      <c r="AJ861" s="192"/>
      <c r="AK861" s="192"/>
      <c r="AL861" s="192"/>
      <c r="AM861" s="192"/>
      <c r="AN861" s="192"/>
      <c r="AO861" s="192"/>
      <c r="AP861" s="192"/>
      <c r="AQ861" s="192"/>
      <c r="AR861" s="192"/>
      <c r="AS861" s="192"/>
      <c r="AT861" s="192"/>
      <c r="AU861" s="192"/>
      <c r="AV861" s="192"/>
    </row>
    <row r="862">
      <c r="A862" s="192"/>
      <c r="B862" s="192"/>
      <c r="C862" s="192"/>
      <c r="D862" s="192"/>
      <c r="E862" s="192"/>
      <c r="F862" s="192"/>
      <c r="G862" s="192"/>
      <c r="H862" s="192"/>
      <c r="I862" s="192"/>
      <c r="J862" s="192"/>
      <c r="K862" s="192"/>
      <c r="L862" s="192"/>
      <c r="M862" s="192"/>
      <c r="N862" s="192"/>
      <c r="O862" s="192"/>
      <c r="P862" s="192"/>
      <c r="Q862" s="192"/>
      <c r="R862" s="192"/>
      <c r="S862" s="192"/>
      <c r="T862" s="192"/>
      <c r="U862" s="192"/>
      <c r="V862" s="192"/>
      <c r="W862" s="192"/>
      <c r="X862" s="192"/>
      <c r="Y862" s="192"/>
      <c r="Z862" s="192"/>
      <c r="AA862" s="192"/>
      <c r="AB862" s="192"/>
      <c r="AC862" s="192"/>
      <c r="AD862" s="192"/>
      <c r="AE862" s="192"/>
      <c r="AF862" s="192"/>
      <c r="AG862" s="192"/>
      <c r="AH862" s="192"/>
      <c r="AI862" s="192"/>
      <c r="AJ862" s="192"/>
      <c r="AK862" s="192"/>
      <c r="AL862" s="192"/>
      <c r="AM862" s="192"/>
      <c r="AN862" s="192"/>
      <c r="AO862" s="192"/>
      <c r="AP862" s="192"/>
      <c r="AQ862" s="192"/>
      <c r="AR862" s="192"/>
      <c r="AS862" s="192"/>
      <c r="AT862" s="192"/>
      <c r="AU862" s="192"/>
      <c r="AV862" s="192"/>
    </row>
    <row r="863">
      <c r="A863" s="192"/>
      <c r="B863" s="192"/>
      <c r="C863" s="192"/>
      <c r="D863" s="192"/>
      <c r="E863" s="192"/>
      <c r="F863" s="192"/>
      <c r="G863" s="192"/>
      <c r="H863" s="192"/>
      <c r="I863" s="192"/>
      <c r="J863" s="192"/>
      <c r="K863" s="192"/>
      <c r="L863" s="192"/>
      <c r="M863" s="192"/>
      <c r="N863" s="192"/>
      <c r="O863" s="192"/>
      <c r="P863" s="192"/>
      <c r="Q863" s="192"/>
      <c r="R863" s="192"/>
      <c r="S863" s="192"/>
      <c r="T863" s="192"/>
      <c r="U863" s="192"/>
      <c r="V863" s="192"/>
      <c r="W863" s="192"/>
      <c r="X863" s="192"/>
      <c r="Y863" s="192"/>
      <c r="Z863" s="192"/>
      <c r="AA863" s="192"/>
      <c r="AB863" s="192"/>
      <c r="AC863" s="192"/>
      <c r="AD863" s="192"/>
      <c r="AE863" s="192"/>
      <c r="AF863" s="192"/>
      <c r="AG863" s="192"/>
      <c r="AH863" s="192"/>
      <c r="AI863" s="192"/>
      <c r="AJ863" s="192"/>
      <c r="AK863" s="192"/>
      <c r="AL863" s="192"/>
      <c r="AM863" s="192"/>
      <c r="AN863" s="192"/>
      <c r="AO863" s="192"/>
      <c r="AP863" s="192"/>
      <c r="AQ863" s="192"/>
      <c r="AR863" s="192"/>
      <c r="AS863" s="192"/>
      <c r="AT863" s="192"/>
      <c r="AU863" s="192"/>
      <c r="AV863" s="192"/>
    </row>
    <row r="864">
      <c r="A864" s="192"/>
      <c r="B864" s="192"/>
      <c r="C864" s="192"/>
      <c r="D864" s="192"/>
      <c r="E864" s="192"/>
      <c r="F864" s="192"/>
      <c r="G864" s="192"/>
      <c r="H864" s="192"/>
      <c r="I864" s="192"/>
      <c r="J864" s="192"/>
      <c r="K864" s="192"/>
      <c r="L864" s="192"/>
      <c r="M864" s="192"/>
      <c r="N864" s="192"/>
      <c r="O864" s="192"/>
      <c r="P864" s="192"/>
      <c r="Q864" s="192"/>
      <c r="R864" s="192"/>
      <c r="S864" s="192"/>
      <c r="T864" s="192"/>
      <c r="U864" s="192"/>
      <c r="V864" s="192"/>
      <c r="W864" s="192"/>
      <c r="X864" s="192"/>
      <c r="Y864" s="192"/>
      <c r="Z864" s="192"/>
      <c r="AA864" s="192"/>
      <c r="AB864" s="192"/>
      <c r="AC864" s="192"/>
      <c r="AD864" s="192"/>
      <c r="AE864" s="192"/>
      <c r="AF864" s="192"/>
      <c r="AG864" s="192"/>
      <c r="AH864" s="192"/>
      <c r="AI864" s="192"/>
      <c r="AJ864" s="192"/>
      <c r="AK864" s="192"/>
      <c r="AL864" s="192"/>
      <c r="AM864" s="192"/>
      <c r="AN864" s="192"/>
      <c r="AO864" s="192"/>
      <c r="AP864" s="192"/>
      <c r="AQ864" s="192"/>
      <c r="AR864" s="192"/>
      <c r="AS864" s="192"/>
      <c r="AT864" s="192"/>
      <c r="AU864" s="192"/>
      <c r="AV864" s="192"/>
    </row>
    <row r="865">
      <c r="A865" s="192"/>
      <c r="B865" s="192"/>
      <c r="C865" s="192"/>
      <c r="D865" s="192"/>
      <c r="E865" s="192"/>
      <c r="F865" s="192"/>
      <c r="G865" s="192"/>
      <c r="H865" s="192"/>
      <c r="I865" s="192"/>
      <c r="J865" s="192"/>
      <c r="K865" s="192"/>
      <c r="L865" s="192"/>
      <c r="M865" s="192"/>
      <c r="N865" s="192"/>
      <c r="O865" s="192"/>
      <c r="P865" s="192"/>
      <c r="Q865" s="192"/>
      <c r="R865" s="192"/>
      <c r="S865" s="192"/>
      <c r="T865" s="192"/>
      <c r="U865" s="192"/>
      <c r="V865" s="192"/>
      <c r="W865" s="192"/>
      <c r="X865" s="192"/>
      <c r="Y865" s="192"/>
      <c r="Z865" s="192"/>
      <c r="AA865" s="192"/>
      <c r="AB865" s="192"/>
      <c r="AC865" s="192"/>
      <c r="AD865" s="192"/>
      <c r="AE865" s="192"/>
      <c r="AF865" s="192"/>
      <c r="AG865" s="192"/>
      <c r="AH865" s="192"/>
      <c r="AI865" s="192"/>
      <c r="AJ865" s="192"/>
      <c r="AK865" s="192"/>
      <c r="AL865" s="192"/>
      <c r="AM865" s="192"/>
      <c r="AN865" s="192"/>
      <c r="AO865" s="192"/>
      <c r="AP865" s="192"/>
      <c r="AQ865" s="192"/>
      <c r="AR865" s="192"/>
      <c r="AS865" s="192"/>
      <c r="AT865" s="192"/>
      <c r="AU865" s="192"/>
      <c r="AV865" s="192"/>
    </row>
    <row r="866">
      <c r="A866" s="192"/>
      <c r="B866" s="192"/>
      <c r="C866" s="192"/>
      <c r="D866" s="192"/>
      <c r="E866" s="192"/>
      <c r="F866" s="192"/>
      <c r="G866" s="192"/>
      <c r="H866" s="192"/>
      <c r="I866" s="192"/>
      <c r="J866" s="192"/>
      <c r="K866" s="192"/>
      <c r="L866" s="192"/>
      <c r="M866" s="192"/>
      <c r="N866" s="192"/>
      <c r="O866" s="192"/>
      <c r="P866" s="192"/>
      <c r="Q866" s="192"/>
      <c r="R866" s="192"/>
      <c r="S866" s="192"/>
      <c r="T866" s="192"/>
      <c r="U866" s="192"/>
      <c r="V866" s="192"/>
      <c r="W866" s="192"/>
      <c r="X866" s="192"/>
      <c r="Y866" s="192"/>
      <c r="Z866" s="192"/>
      <c r="AA866" s="192"/>
      <c r="AB866" s="192"/>
      <c r="AC866" s="192"/>
      <c r="AD866" s="192"/>
      <c r="AE866" s="192"/>
      <c r="AF866" s="192"/>
      <c r="AG866" s="192"/>
      <c r="AH866" s="192"/>
      <c r="AI866" s="192"/>
      <c r="AJ866" s="192"/>
      <c r="AK866" s="192"/>
      <c r="AL866" s="192"/>
      <c r="AM866" s="192"/>
      <c r="AN866" s="192"/>
      <c r="AO866" s="192"/>
      <c r="AP866" s="192"/>
      <c r="AQ866" s="192"/>
      <c r="AR866" s="192"/>
      <c r="AS866" s="192"/>
      <c r="AT866" s="192"/>
      <c r="AU866" s="192"/>
      <c r="AV866" s="192"/>
    </row>
    <row r="867">
      <c r="A867" s="192"/>
      <c r="B867" s="192"/>
      <c r="C867" s="192"/>
      <c r="D867" s="192"/>
      <c r="E867" s="192"/>
      <c r="F867" s="192"/>
      <c r="G867" s="192"/>
      <c r="H867" s="192"/>
      <c r="I867" s="192"/>
      <c r="J867" s="192"/>
      <c r="K867" s="192"/>
      <c r="L867" s="192"/>
      <c r="M867" s="192"/>
      <c r="N867" s="192"/>
      <c r="O867" s="192"/>
      <c r="P867" s="192"/>
      <c r="Q867" s="192"/>
      <c r="R867" s="192"/>
      <c r="S867" s="192"/>
      <c r="T867" s="192"/>
      <c r="U867" s="192"/>
      <c r="V867" s="192"/>
      <c r="W867" s="192"/>
      <c r="X867" s="192"/>
      <c r="Y867" s="192"/>
      <c r="Z867" s="192"/>
      <c r="AA867" s="192"/>
      <c r="AB867" s="192"/>
      <c r="AC867" s="192"/>
      <c r="AD867" s="192"/>
      <c r="AE867" s="192"/>
      <c r="AF867" s="192"/>
      <c r="AG867" s="192"/>
      <c r="AH867" s="192"/>
      <c r="AI867" s="192"/>
      <c r="AJ867" s="192"/>
      <c r="AK867" s="192"/>
      <c r="AL867" s="192"/>
      <c r="AM867" s="192"/>
      <c r="AN867" s="192"/>
      <c r="AO867" s="192"/>
      <c r="AP867" s="192"/>
      <c r="AQ867" s="192"/>
      <c r="AR867" s="192"/>
      <c r="AS867" s="192"/>
      <c r="AT867" s="192"/>
      <c r="AU867" s="192"/>
      <c r="AV867" s="192"/>
    </row>
    <row r="868">
      <c r="A868" s="192"/>
      <c r="B868" s="192"/>
      <c r="C868" s="192"/>
      <c r="D868" s="192"/>
      <c r="E868" s="192"/>
      <c r="F868" s="192"/>
      <c r="G868" s="192"/>
      <c r="H868" s="192"/>
      <c r="I868" s="192"/>
      <c r="J868" s="192"/>
      <c r="K868" s="192"/>
      <c r="L868" s="192"/>
      <c r="M868" s="192"/>
      <c r="N868" s="192"/>
      <c r="O868" s="192"/>
      <c r="P868" s="192"/>
      <c r="Q868" s="192"/>
      <c r="R868" s="192"/>
      <c r="S868" s="192"/>
      <c r="T868" s="192"/>
      <c r="U868" s="192"/>
      <c r="V868" s="192"/>
      <c r="W868" s="192"/>
      <c r="X868" s="192"/>
      <c r="Y868" s="192"/>
      <c r="Z868" s="192"/>
      <c r="AA868" s="192"/>
      <c r="AB868" s="192"/>
      <c r="AC868" s="192"/>
      <c r="AD868" s="192"/>
      <c r="AE868" s="192"/>
      <c r="AF868" s="192"/>
      <c r="AG868" s="192"/>
      <c r="AH868" s="192"/>
      <c r="AI868" s="192"/>
      <c r="AJ868" s="192"/>
      <c r="AK868" s="192"/>
      <c r="AL868" s="192"/>
      <c r="AM868" s="192"/>
      <c r="AN868" s="192"/>
      <c r="AO868" s="192"/>
      <c r="AP868" s="192"/>
      <c r="AQ868" s="192"/>
      <c r="AR868" s="192"/>
      <c r="AS868" s="192"/>
      <c r="AT868" s="192"/>
      <c r="AU868" s="192"/>
      <c r="AV868" s="192"/>
    </row>
    <row r="869">
      <c r="A869" s="192"/>
      <c r="B869" s="192"/>
      <c r="C869" s="192"/>
      <c r="D869" s="192"/>
      <c r="E869" s="192"/>
      <c r="F869" s="192"/>
      <c r="G869" s="192"/>
      <c r="H869" s="192"/>
      <c r="I869" s="192"/>
      <c r="J869" s="192"/>
      <c r="K869" s="192"/>
      <c r="L869" s="192"/>
      <c r="M869" s="192"/>
      <c r="N869" s="192"/>
      <c r="O869" s="192"/>
      <c r="P869" s="192"/>
      <c r="Q869" s="192"/>
      <c r="R869" s="192"/>
      <c r="S869" s="192"/>
      <c r="T869" s="192"/>
      <c r="U869" s="192"/>
      <c r="V869" s="192"/>
      <c r="W869" s="192"/>
      <c r="X869" s="192"/>
      <c r="Y869" s="192"/>
      <c r="Z869" s="192"/>
      <c r="AA869" s="192"/>
      <c r="AB869" s="192"/>
      <c r="AC869" s="192"/>
      <c r="AD869" s="192"/>
      <c r="AE869" s="192"/>
      <c r="AF869" s="192"/>
      <c r="AG869" s="192"/>
      <c r="AH869" s="192"/>
      <c r="AI869" s="192"/>
      <c r="AJ869" s="192"/>
      <c r="AK869" s="192"/>
      <c r="AL869" s="192"/>
      <c r="AM869" s="192"/>
      <c r="AN869" s="192"/>
      <c r="AO869" s="192"/>
      <c r="AP869" s="192"/>
      <c r="AQ869" s="192"/>
      <c r="AR869" s="192"/>
      <c r="AS869" s="192"/>
      <c r="AT869" s="192"/>
      <c r="AU869" s="192"/>
      <c r="AV869" s="192"/>
    </row>
    <row r="870">
      <c r="A870" s="192"/>
      <c r="B870" s="192"/>
      <c r="C870" s="192"/>
      <c r="D870" s="192"/>
      <c r="E870" s="192"/>
      <c r="F870" s="192"/>
      <c r="G870" s="192"/>
      <c r="H870" s="192"/>
      <c r="I870" s="192"/>
      <c r="J870" s="192"/>
      <c r="K870" s="192"/>
      <c r="L870" s="192"/>
      <c r="M870" s="192"/>
      <c r="N870" s="192"/>
      <c r="O870" s="192"/>
      <c r="P870" s="192"/>
      <c r="Q870" s="192"/>
      <c r="R870" s="192"/>
      <c r="S870" s="192"/>
      <c r="T870" s="192"/>
      <c r="U870" s="192"/>
      <c r="V870" s="192"/>
      <c r="W870" s="192"/>
      <c r="X870" s="192"/>
      <c r="Y870" s="192"/>
      <c r="Z870" s="192"/>
      <c r="AA870" s="192"/>
      <c r="AB870" s="192"/>
      <c r="AC870" s="192"/>
      <c r="AD870" s="192"/>
      <c r="AE870" s="192"/>
      <c r="AF870" s="192"/>
      <c r="AG870" s="192"/>
      <c r="AH870" s="192"/>
      <c r="AI870" s="192"/>
      <c r="AJ870" s="192"/>
      <c r="AK870" s="192"/>
      <c r="AL870" s="192"/>
      <c r="AM870" s="192"/>
      <c r="AN870" s="192"/>
      <c r="AO870" s="192"/>
      <c r="AP870" s="192"/>
      <c r="AQ870" s="192"/>
      <c r="AR870" s="192"/>
      <c r="AS870" s="192"/>
      <c r="AT870" s="192"/>
      <c r="AU870" s="192"/>
      <c r="AV870" s="192"/>
    </row>
    <row r="871">
      <c r="A871" s="192"/>
      <c r="B871" s="192"/>
      <c r="C871" s="192"/>
      <c r="D871" s="192"/>
      <c r="E871" s="192"/>
      <c r="F871" s="192"/>
      <c r="G871" s="192"/>
      <c r="H871" s="192"/>
      <c r="I871" s="192"/>
      <c r="J871" s="192"/>
      <c r="K871" s="192"/>
      <c r="L871" s="192"/>
      <c r="M871" s="192"/>
      <c r="N871" s="192"/>
      <c r="O871" s="192"/>
      <c r="P871" s="192"/>
      <c r="Q871" s="192"/>
      <c r="R871" s="192"/>
      <c r="S871" s="192"/>
      <c r="T871" s="192"/>
      <c r="U871" s="192"/>
      <c r="V871" s="192"/>
      <c r="W871" s="192"/>
      <c r="X871" s="192"/>
      <c r="Y871" s="192"/>
      <c r="Z871" s="192"/>
      <c r="AA871" s="192"/>
      <c r="AB871" s="192"/>
      <c r="AC871" s="192"/>
      <c r="AD871" s="192"/>
      <c r="AE871" s="192"/>
      <c r="AF871" s="192"/>
      <c r="AG871" s="192"/>
      <c r="AH871" s="192"/>
      <c r="AI871" s="192"/>
      <c r="AJ871" s="192"/>
      <c r="AK871" s="192"/>
      <c r="AL871" s="192"/>
      <c r="AM871" s="192"/>
      <c r="AN871" s="192"/>
      <c r="AO871" s="192"/>
      <c r="AP871" s="192"/>
      <c r="AQ871" s="192"/>
      <c r="AR871" s="192"/>
      <c r="AS871" s="192"/>
      <c r="AT871" s="192"/>
      <c r="AU871" s="192"/>
      <c r="AV871" s="192"/>
    </row>
    <row r="872">
      <c r="A872" s="192"/>
      <c r="B872" s="192"/>
      <c r="C872" s="192"/>
      <c r="D872" s="192"/>
      <c r="E872" s="192"/>
      <c r="F872" s="192"/>
      <c r="G872" s="192"/>
      <c r="H872" s="192"/>
      <c r="I872" s="192"/>
      <c r="J872" s="192"/>
      <c r="K872" s="192"/>
      <c r="L872" s="192"/>
      <c r="M872" s="192"/>
      <c r="N872" s="192"/>
      <c r="O872" s="192"/>
      <c r="P872" s="192"/>
      <c r="Q872" s="192"/>
      <c r="R872" s="192"/>
      <c r="S872" s="192"/>
      <c r="T872" s="192"/>
      <c r="U872" s="192"/>
      <c r="V872" s="192"/>
      <c r="W872" s="192"/>
      <c r="X872" s="192"/>
      <c r="Y872" s="192"/>
      <c r="Z872" s="192"/>
      <c r="AA872" s="192"/>
      <c r="AB872" s="192"/>
      <c r="AC872" s="192"/>
      <c r="AD872" s="192"/>
      <c r="AE872" s="192"/>
      <c r="AF872" s="192"/>
      <c r="AG872" s="192"/>
      <c r="AH872" s="192"/>
      <c r="AI872" s="192"/>
      <c r="AJ872" s="192"/>
      <c r="AK872" s="192"/>
      <c r="AL872" s="192"/>
      <c r="AM872" s="192"/>
      <c r="AN872" s="192"/>
      <c r="AO872" s="192"/>
      <c r="AP872" s="192"/>
      <c r="AQ872" s="192"/>
      <c r="AR872" s="192"/>
      <c r="AS872" s="192"/>
      <c r="AT872" s="192"/>
      <c r="AU872" s="192"/>
      <c r="AV872" s="192"/>
    </row>
    <row r="873">
      <c r="A873" s="192"/>
      <c r="B873" s="192"/>
      <c r="C873" s="192"/>
      <c r="D873" s="192"/>
      <c r="E873" s="192"/>
      <c r="F873" s="192"/>
      <c r="G873" s="192"/>
      <c r="H873" s="192"/>
      <c r="I873" s="192"/>
      <c r="J873" s="192"/>
      <c r="K873" s="192"/>
      <c r="L873" s="192"/>
      <c r="M873" s="192"/>
      <c r="N873" s="192"/>
      <c r="O873" s="192"/>
      <c r="P873" s="192"/>
      <c r="Q873" s="192"/>
      <c r="R873" s="192"/>
      <c r="S873" s="192"/>
      <c r="T873" s="192"/>
      <c r="U873" s="192"/>
      <c r="V873" s="192"/>
      <c r="W873" s="192"/>
      <c r="X873" s="192"/>
      <c r="Y873" s="192"/>
      <c r="Z873" s="192"/>
      <c r="AA873" s="192"/>
      <c r="AB873" s="192"/>
      <c r="AC873" s="192"/>
      <c r="AD873" s="192"/>
      <c r="AE873" s="192"/>
      <c r="AF873" s="192"/>
      <c r="AG873" s="192"/>
      <c r="AH873" s="192"/>
      <c r="AI873" s="192"/>
      <c r="AJ873" s="192"/>
      <c r="AK873" s="192"/>
      <c r="AL873" s="192"/>
      <c r="AM873" s="192"/>
      <c r="AN873" s="192"/>
      <c r="AO873" s="192"/>
      <c r="AP873" s="192"/>
      <c r="AQ873" s="192"/>
      <c r="AR873" s="192"/>
      <c r="AS873" s="192"/>
      <c r="AT873" s="192"/>
      <c r="AU873" s="192"/>
      <c r="AV873" s="192"/>
    </row>
    <row r="874">
      <c r="A874" s="192"/>
      <c r="B874" s="192"/>
      <c r="C874" s="192"/>
      <c r="D874" s="192"/>
      <c r="E874" s="192"/>
      <c r="F874" s="192"/>
      <c r="G874" s="192"/>
      <c r="H874" s="192"/>
      <c r="I874" s="192"/>
      <c r="J874" s="192"/>
      <c r="K874" s="192"/>
      <c r="L874" s="192"/>
      <c r="M874" s="192"/>
      <c r="N874" s="192"/>
      <c r="O874" s="192"/>
      <c r="P874" s="192"/>
      <c r="Q874" s="192"/>
      <c r="R874" s="192"/>
      <c r="S874" s="192"/>
      <c r="T874" s="192"/>
      <c r="U874" s="192"/>
      <c r="V874" s="192"/>
      <c r="W874" s="192"/>
      <c r="X874" s="192"/>
      <c r="Y874" s="192"/>
      <c r="Z874" s="192"/>
      <c r="AA874" s="192"/>
      <c r="AB874" s="192"/>
      <c r="AC874" s="192"/>
      <c r="AD874" s="192"/>
      <c r="AE874" s="192"/>
      <c r="AF874" s="192"/>
      <c r="AG874" s="192"/>
      <c r="AH874" s="192"/>
      <c r="AI874" s="192"/>
      <c r="AJ874" s="192"/>
      <c r="AK874" s="192"/>
      <c r="AL874" s="192"/>
      <c r="AM874" s="192"/>
      <c r="AN874" s="192"/>
      <c r="AO874" s="192"/>
      <c r="AP874" s="192"/>
      <c r="AQ874" s="192"/>
      <c r="AR874" s="192"/>
      <c r="AS874" s="192"/>
      <c r="AT874" s="192"/>
      <c r="AU874" s="192"/>
      <c r="AV874" s="192"/>
    </row>
    <row r="875">
      <c r="A875" s="192"/>
      <c r="B875" s="192"/>
      <c r="C875" s="192"/>
      <c r="D875" s="192"/>
      <c r="E875" s="192"/>
      <c r="F875" s="192"/>
      <c r="G875" s="192"/>
      <c r="H875" s="192"/>
      <c r="I875" s="192"/>
      <c r="J875" s="192"/>
      <c r="K875" s="192"/>
      <c r="L875" s="192"/>
      <c r="M875" s="192"/>
      <c r="N875" s="192"/>
      <c r="O875" s="192"/>
      <c r="P875" s="192"/>
      <c r="Q875" s="192"/>
      <c r="R875" s="192"/>
      <c r="S875" s="192"/>
      <c r="T875" s="192"/>
      <c r="U875" s="192"/>
      <c r="V875" s="192"/>
      <c r="W875" s="192"/>
      <c r="X875" s="192"/>
      <c r="Y875" s="192"/>
      <c r="Z875" s="192"/>
      <c r="AA875" s="192"/>
      <c r="AB875" s="192"/>
      <c r="AC875" s="192"/>
      <c r="AD875" s="192"/>
      <c r="AE875" s="192"/>
      <c r="AF875" s="192"/>
      <c r="AG875" s="192"/>
      <c r="AH875" s="192"/>
      <c r="AI875" s="192"/>
      <c r="AJ875" s="192"/>
      <c r="AK875" s="192"/>
      <c r="AL875" s="192"/>
      <c r="AM875" s="192"/>
      <c r="AN875" s="192"/>
      <c r="AO875" s="192"/>
      <c r="AP875" s="192"/>
      <c r="AQ875" s="192"/>
      <c r="AR875" s="192"/>
      <c r="AS875" s="192"/>
      <c r="AT875" s="192"/>
      <c r="AU875" s="192"/>
      <c r="AV875" s="192"/>
    </row>
    <row r="876">
      <c r="A876" s="192"/>
      <c r="B876" s="192"/>
      <c r="C876" s="192"/>
      <c r="D876" s="192"/>
      <c r="E876" s="192"/>
      <c r="F876" s="192"/>
      <c r="G876" s="192"/>
      <c r="H876" s="192"/>
      <c r="I876" s="192"/>
      <c r="J876" s="192"/>
      <c r="K876" s="192"/>
      <c r="L876" s="192"/>
      <c r="M876" s="192"/>
      <c r="N876" s="192"/>
      <c r="O876" s="192"/>
      <c r="P876" s="192"/>
      <c r="Q876" s="192"/>
      <c r="R876" s="192"/>
      <c r="S876" s="192"/>
      <c r="T876" s="192"/>
      <c r="U876" s="192"/>
      <c r="V876" s="192"/>
      <c r="W876" s="192"/>
      <c r="X876" s="192"/>
      <c r="Y876" s="192"/>
      <c r="Z876" s="192"/>
      <c r="AA876" s="192"/>
      <c r="AB876" s="192"/>
      <c r="AC876" s="192"/>
      <c r="AD876" s="192"/>
      <c r="AE876" s="192"/>
      <c r="AF876" s="192"/>
      <c r="AG876" s="192"/>
      <c r="AH876" s="192"/>
      <c r="AI876" s="192"/>
      <c r="AJ876" s="192"/>
      <c r="AK876" s="192"/>
      <c r="AL876" s="192"/>
      <c r="AM876" s="192"/>
      <c r="AN876" s="192"/>
      <c r="AO876" s="192"/>
      <c r="AP876" s="192"/>
      <c r="AQ876" s="192"/>
      <c r="AR876" s="192"/>
      <c r="AS876" s="192"/>
      <c r="AT876" s="192"/>
      <c r="AU876" s="192"/>
      <c r="AV876" s="192"/>
    </row>
    <row r="877">
      <c r="A877" s="192"/>
      <c r="B877" s="192"/>
      <c r="C877" s="192"/>
      <c r="D877" s="192"/>
      <c r="E877" s="192"/>
      <c r="F877" s="192"/>
      <c r="G877" s="192"/>
      <c r="H877" s="192"/>
      <c r="I877" s="192"/>
      <c r="J877" s="192"/>
      <c r="K877" s="192"/>
      <c r="L877" s="192"/>
      <c r="M877" s="192"/>
      <c r="N877" s="192"/>
      <c r="O877" s="192"/>
      <c r="P877" s="192"/>
      <c r="Q877" s="192"/>
      <c r="R877" s="192"/>
      <c r="S877" s="192"/>
      <c r="T877" s="192"/>
      <c r="U877" s="192"/>
      <c r="V877" s="192"/>
      <c r="W877" s="192"/>
      <c r="X877" s="192"/>
      <c r="Y877" s="192"/>
      <c r="Z877" s="192"/>
      <c r="AA877" s="192"/>
      <c r="AB877" s="192"/>
      <c r="AC877" s="192"/>
      <c r="AD877" s="192"/>
      <c r="AE877" s="192"/>
      <c r="AF877" s="192"/>
      <c r="AG877" s="192"/>
      <c r="AH877" s="192"/>
      <c r="AI877" s="192"/>
      <c r="AJ877" s="192"/>
      <c r="AK877" s="192"/>
      <c r="AL877" s="192"/>
      <c r="AM877" s="192"/>
      <c r="AN877" s="192"/>
      <c r="AO877" s="192"/>
      <c r="AP877" s="192"/>
      <c r="AQ877" s="192"/>
      <c r="AR877" s="192"/>
      <c r="AS877" s="192"/>
      <c r="AT877" s="192"/>
      <c r="AU877" s="192"/>
      <c r="AV877" s="192"/>
    </row>
    <row r="878">
      <c r="A878" s="192"/>
      <c r="B878" s="192"/>
      <c r="C878" s="192"/>
      <c r="D878" s="192"/>
      <c r="E878" s="192"/>
      <c r="F878" s="192"/>
      <c r="G878" s="192"/>
      <c r="H878" s="192"/>
      <c r="I878" s="192"/>
      <c r="J878" s="192"/>
      <c r="K878" s="192"/>
      <c r="L878" s="192"/>
      <c r="M878" s="192"/>
      <c r="N878" s="192"/>
      <c r="O878" s="192"/>
      <c r="P878" s="192"/>
      <c r="Q878" s="192"/>
      <c r="R878" s="192"/>
      <c r="S878" s="192"/>
      <c r="T878" s="192"/>
      <c r="U878" s="192"/>
      <c r="V878" s="192"/>
      <c r="W878" s="192"/>
      <c r="X878" s="192"/>
      <c r="Y878" s="192"/>
      <c r="Z878" s="192"/>
      <c r="AA878" s="192"/>
      <c r="AB878" s="192"/>
      <c r="AC878" s="192"/>
      <c r="AD878" s="192"/>
      <c r="AE878" s="192"/>
      <c r="AF878" s="192"/>
      <c r="AG878" s="192"/>
      <c r="AH878" s="192"/>
      <c r="AI878" s="192"/>
      <c r="AJ878" s="192"/>
      <c r="AK878" s="192"/>
      <c r="AL878" s="192"/>
      <c r="AM878" s="192"/>
      <c r="AN878" s="192"/>
      <c r="AO878" s="192"/>
      <c r="AP878" s="192"/>
      <c r="AQ878" s="192"/>
      <c r="AR878" s="192"/>
      <c r="AS878" s="192"/>
      <c r="AT878" s="192"/>
      <c r="AU878" s="192"/>
      <c r="AV878" s="192"/>
    </row>
    <row r="879">
      <c r="A879" s="192"/>
      <c r="B879" s="192"/>
      <c r="C879" s="192"/>
      <c r="D879" s="192"/>
      <c r="E879" s="192"/>
      <c r="F879" s="192"/>
      <c r="G879" s="192"/>
      <c r="H879" s="192"/>
      <c r="I879" s="192"/>
      <c r="J879" s="192"/>
      <c r="K879" s="192"/>
      <c r="L879" s="192"/>
      <c r="M879" s="192"/>
      <c r="N879" s="192"/>
      <c r="O879" s="192"/>
      <c r="P879" s="192"/>
      <c r="Q879" s="192"/>
      <c r="R879" s="192"/>
      <c r="S879" s="192"/>
      <c r="T879" s="192"/>
      <c r="U879" s="192"/>
      <c r="V879" s="192"/>
      <c r="W879" s="192"/>
      <c r="X879" s="192"/>
      <c r="Y879" s="192"/>
      <c r="Z879" s="192"/>
      <c r="AA879" s="192"/>
      <c r="AB879" s="192"/>
      <c r="AC879" s="192"/>
      <c r="AD879" s="192"/>
      <c r="AE879" s="192"/>
      <c r="AF879" s="192"/>
      <c r="AG879" s="192"/>
      <c r="AH879" s="192"/>
      <c r="AI879" s="192"/>
      <c r="AJ879" s="192"/>
      <c r="AK879" s="192"/>
      <c r="AL879" s="192"/>
      <c r="AM879" s="192"/>
      <c r="AN879" s="192"/>
      <c r="AO879" s="192"/>
      <c r="AP879" s="192"/>
      <c r="AQ879" s="192"/>
      <c r="AR879" s="192"/>
      <c r="AS879" s="192"/>
      <c r="AT879" s="192"/>
      <c r="AU879" s="192"/>
      <c r="AV879" s="192"/>
    </row>
    <row r="880">
      <c r="A880" s="192"/>
      <c r="B880" s="192"/>
      <c r="C880" s="192"/>
      <c r="D880" s="192"/>
      <c r="E880" s="192"/>
      <c r="F880" s="192"/>
      <c r="G880" s="192"/>
      <c r="H880" s="192"/>
      <c r="I880" s="192"/>
      <c r="J880" s="192"/>
      <c r="K880" s="192"/>
      <c r="L880" s="192"/>
      <c r="M880" s="192"/>
      <c r="N880" s="192"/>
      <c r="O880" s="192"/>
      <c r="P880" s="192"/>
      <c r="Q880" s="192"/>
      <c r="R880" s="192"/>
      <c r="S880" s="192"/>
      <c r="T880" s="192"/>
      <c r="U880" s="192"/>
      <c r="V880" s="192"/>
      <c r="W880" s="192"/>
      <c r="X880" s="192"/>
      <c r="Y880" s="192"/>
      <c r="Z880" s="192"/>
      <c r="AA880" s="192"/>
      <c r="AB880" s="192"/>
      <c r="AC880" s="192"/>
      <c r="AD880" s="192"/>
      <c r="AE880" s="192"/>
      <c r="AF880" s="192"/>
      <c r="AG880" s="192"/>
      <c r="AH880" s="192"/>
      <c r="AI880" s="192"/>
      <c r="AJ880" s="192"/>
      <c r="AK880" s="192"/>
      <c r="AL880" s="192"/>
      <c r="AM880" s="192"/>
      <c r="AN880" s="192"/>
      <c r="AO880" s="192"/>
      <c r="AP880" s="192"/>
      <c r="AQ880" s="192"/>
      <c r="AR880" s="192"/>
      <c r="AS880" s="192"/>
      <c r="AT880" s="192"/>
      <c r="AU880" s="192"/>
      <c r="AV880" s="192"/>
    </row>
    <row r="881">
      <c r="A881" s="192"/>
      <c r="B881" s="192"/>
      <c r="C881" s="192"/>
      <c r="D881" s="192"/>
      <c r="E881" s="192"/>
      <c r="F881" s="192"/>
      <c r="G881" s="192"/>
      <c r="H881" s="192"/>
      <c r="I881" s="192"/>
      <c r="J881" s="192"/>
      <c r="K881" s="192"/>
      <c r="L881" s="192"/>
      <c r="M881" s="192"/>
      <c r="N881" s="192"/>
      <c r="O881" s="192"/>
      <c r="P881" s="192"/>
      <c r="Q881" s="192"/>
      <c r="R881" s="192"/>
      <c r="S881" s="192"/>
      <c r="T881" s="192"/>
      <c r="U881" s="192"/>
      <c r="V881" s="192"/>
      <c r="W881" s="192"/>
      <c r="X881" s="192"/>
      <c r="Y881" s="192"/>
      <c r="Z881" s="192"/>
      <c r="AA881" s="192"/>
      <c r="AB881" s="192"/>
      <c r="AC881" s="192"/>
      <c r="AD881" s="192"/>
      <c r="AE881" s="192"/>
      <c r="AF881" s="192"/>
      <c r="AG881" s="192"/>
      <c r="AH881" s="192"/>
      <c r="AI881" s="192"/>
      <c r="AJ881" s="192"/>
      <c r="AK881" s="192"/>
      <c r="AL881" s="192"/>
      <c r="AM881" s="192"/>
      <c r="AN881" s="192"/>
      <c r="AO881" s="192"/>
      <c r="AP881" s="192"/>
      <c r="AQ881" s="192"/>
      <c r="AR881" s="192"/>
      <c r="AS881" s="192"/>
      <c r="AT881" s="192"/>
      <c r="AU881" s="192"/>
      <c r="AV881" s="192"/>
    </row>
    <row r="882">
      <c r="A882" s="192"/>
      <c r="B882" s="192"/>
      <c r="C882" s="192"/>
      <c r="D882" s="192"/>
      <c r="E882" s="192"/>
      <c r="F882" s="192"/>
      <c r="G882" s="192"/>
      <c r="H882" s="192"/>
      <c r="I882" s="192"/>
      <c r="J882" s="192"/>
      <c r="K882" s="192"/>
      <c r="L882" s="192"/>
      <c r="M882" s="192"/>
      <c r="N882" s="192"/>
      <c r="O882" s="192"/>
      <c r="P882" s="192"/>
      <c r="Q882" s="192"/>
      <c r="R882" s="192"/>
      <c r="S882" s="192"/>
      <c r="T882" s="192"/>
      <c r="U882" s="192"/>
      <c r="V882" s="192"/>
      <c r="W882" s="192"/>
      <c r="X882" s="192"/>
      <c r="Y882" s="192"/>
      <c r="Z882" s="192"/>
      <c r="AA882" s="192"/>
      <c r="AB882" s="192"/>
      <c r="AC882" s="192"/>
      <c r="AD882" s="192"/>
      <c r="AE882" s="192"/>
      <c r="AF882" s="192"/>
      <c r="AG882" s="192"/>
      <c r="AH882" s="192"/>
      <c r="AI882" s="192"/>
      <c r="AJ882" s="192"/>
      <c r="AK882" s="192"/>
      <c r="AL882" s="192"/>
      <c r="AM882" s="192"/>
      <c r="AN882" s="192"/>
      <c r="AO882" s="192"/>
      <c r="AP882" s="192"/>
      <c r="AQ882" s="192"/>
      <c r="AR882" s="192"/>
      <c r="AS882" s="192"/>
      <c r="AT882" s="192"/>
      <c r="AU882" s="192"/>
      <c r="AV882" s="192"/>
    </row>
    <row r="883">
      <c r="A883" s="192"/>
      <c r="B883" s="192"/>
      <c r="C883" s="192"/>
      <c r="D883" s="192"/>
      <c r="E883" s="192"/>
      <c r="F883" s="192"/>
      <c r="G883" s="192"/>
      <c r="H883" s="192"/>
      <c r="I883" s="192"/>
      <c r="J883" s="192"/>
      <c r="K883" s="192"/>
      <c r="L883" s="192"/>
      <c r="M883" s="192"/>
      <c r="N883" s="192"/>
      <c r="O883" s="192"/>
      <c r="P883" s="192"/>
      <c r="Q883" s="192"/>
      <c r="R883" s="192"/>
      <c r="S883" s="192"/>
      <c r="T883" s="192"/>
      <c r="U883" s="192"/>
      <c r="V883" s="192"/>
      <c r="W883" s="192"/>
      <c r="X883" s="192"/>
      <c r="Y883" s="192"/>
      <c r="Z883" s="192"/>
      <c r="AA883" s="192"/>
      <c r="AB883" s="192"/>
      <c r="AC883" s="192"/>
      <c r="AD883" s="192"/>
      <c r="AE883" s="192"/>
      <c r="AF883" s="192"/>
      <c r="AG883" s="192"/>
      <c r="AH883" s="192"/>
      <c r="AI883" s="192"/>
      <c r="AJ883" s="192"/>
      <c r="AK883" s="192"/>
      <c r="AL883" s="192"/>
      <c r="AM883" s="192"/>
      <c r="AN883" s="192"/>
      <c r="AO883" s="192"/>
      <c r="AP883" s="192"/>
      <c r="AQ883" s="192"/>
      <c r="AR883" s="192"/>
      <c r="AS883" s="192"/>
      <c r="AT883" s="192"/>
      <c r="AU883" s="192"/>
      <c r="AV883" s="192"/>
    </row>
    <row r="884">
      <c r="A884" s="192"/>
      <c r="B884" s="192"/>
      <c r="C884" s="192"/>
      <c r="D884" s="192"/>
      <c r="E884" s="192"/>
      <c r="F884" s="192"/>
      <c r="G884" s="192"/>
      <c r="H884" s="192"/>
      <c r="I884" s="192"/>
      <c r="J884" s="192"/>
      <c r="K884" s="192"/>
      <c r="L884" s="192"/>
      <c r="M884" s="192"/>
      <c r="N884" s="192"/>
      <c r="O884" s="192"/>
      <c r="P884" s="192"/>
      <c r="Q884" s="192"/>
      <c r="R884" s="192"/>
      <c r="S884" s="192"/>
      <c r="T884" s="192"/>
      <c r="U884" s="192"/>
      <c r="V884" s="192"/>
      <c r="W884" s="192"/>
      <c r="X884" s="192"/>
      <c r="Y884" s="192"/>
      <c r="Z884" s="192"/>
      <c r="AA884" s="192"/>
      <c r="AB884" s="192"/>
      <c r="AC884" s="192"/>
      <c r="AD884" s="192"/>
      <c r="AE884" s="192"/>
      <c r="AF884" s="192"/>
      <c r="AG884" s="192"/>
      <c r="AH884" s="192"/>
      <c r="AI884" s="192"/>
      <c r="AJ884" s="192"/>
      <c r="AK884" s="192"/>
      <c r="AL884" s="192"/>
      <c r="AM884" s="192"/>
      <c r="AN884" s="192"/>
      <c r="AO884" s="192"/>
      <c r="AP884" s="192"/>
      <c r="AQ884" s="192"/>
      <c r="AR884" s="192"/>
      <c r="AS884" s="192"/>
      <c r="AT884" s="192"/>
      <c r="AU884" s="192"/>
      <c r="AV884" s="192"/>
    </row>
    <row r="885">
      <c r="A885" s="192"/>
      <c r="B885" s="192"/>
      <c r="C885" s="192"/>
      <c r="D885" s="192"/>
      <c r="E885" s="192"/>
      <c r="F885" s="192"/>
      <c r="G885" s="192"/>
      <c r="H885" s="192"/>
      <c r="I885" s="192"/>
      <c r="J885" s="192"/>
      <c r="K885" s="192"/>
      <c r="L885" s="192"/>
      <c r="M885" s="192"/>
      <c r="N885" s="192"/>
      <c r="O885" s="192"/>
      <c r="P885" s="192"/>
      <c r="Q885" s="192"/>
      <c r="R885" s="192"/>
      <c r="S885" s="192"/>
      <c r="T885" s="192"/>
      <c r="U885" s="192"/>
      <c r="V885" s="192"/>
      <c r="W885" s="192"/>
      <c r="X885" s="192"/>
      <c r="Y885" s="192"/>
      <c r="Z885" s="192"/>
      <c r="AA885" s="192"/>
      <c r="AB885" s="192"/>
      <c r="AC885" s="192"/>
      <c r="AD885" s="192"/>
      <c r="AE885" s="192"/>
      <c r="AF885" s="192"/>
      <c r="AG885" s="192"/>
      <c r="AH885" s="192"/>
      <c r="AI885" s="192"/>
      <c r="AJ885" s="192"/>
      <c r="AK885" s="192"/>
      <c r="AL885" s="192"/>
      <c r="AM885" s="192"/>
      <c r="AN885" s="192"/>
      <c r="AO885" s="192"/>
      <c r="AP885" s="192"/>
      <c r="AQ885" s="192"/>
      <c r="AR885" s="192"/>
      <c r="AS885" s="192"/>
      <c r="AT885" s="192"/>
      <c r="AU885" s="192"/>
      <c r="AV885" s="192"/>
    </row>
    <row r="886">
      <c r="A886" s="192"/>
      <c r="B886" s="192"/>
      <c r="C886" s="192"/>
      <c r="D886" s="192"/>
      <c r="E886" s="192"/>
      <c r="F886" s="192"/>
      <c r="G886" s="192"/>
      <c r="H886" s="192"/>
      <c r="I886" s="192"/>
      <c r="J886" s="192"/>
      <c r="K886" s="192"/>
      <c r="L886" s="192"/>
      <c r="M886" s="192"/>
      <c r="N886" s="192"/>
      <c r="O886" s="192"/>
      <c r="P886" s="192"/>
      <c r="Q886" s="192"/>
      <c r="R886" s="192"/>
      <c r="S886" s="192"/>
      <c r="T886" s="192"/>
      <c r="U886" s="192"/>
      <c r="V886" s="192"/>
      <c r="W886" s="192"/>
      <c r="X886" s="192"/>
      <c r="Y886" s="192"/>
      <c r="Z886" s="192"/>
      <c r="AA886" s="192"/>
      <c r="AB886" s="192"/>
      <c r="AC886" s="192"/>
      <c r="AD886" s="192"/>
      <c r="AE886" s="192"/>
      <c r="AF886" s="192"/>
      <c r="AG886" s="192"/>
      <c r="AH886" s="192"/>
      <c r="AI886" s="192"/>
      <c r="AJ886" s="192"/>
      <c r="AK886" s="192"/>
      <c r="AL886" s="192"/>
      <c r="AM886" s="192"/>
      <c r="AN886" s="192"/>
      <c r="AO886" s="192"/>
      <c r="AP886" s="192"/>
      <c r="AQ886" s="192"/>
      <c r="AR886" s="192"/>
      <c r="AS886" s="192"/>
      <c r="AT886" s="192"/>
      <c r="AU886" s="192"/>
      <c r="AV886" s="192"/>
    </row>
    <row r="887">
      <c r="A887" s="192"/>
      <c r="B887" s="192"/>
      <c r="C887" s="192"/>
      <c r="D887" s="192"/>
      <c r="E887" s="192"/>
      <c r="F887" s="192"/>
      <c r="G887" s="192"/>
      <c r="H887" s="192"/>
      <c r="I887" s="192"/>
      <c r="J887" s="192"/>
      <c r="K887" s="192"/>
      <c r="L887" s="192"/>
      <c r="M887" s="192"/>
      <c r="N887" s="192"/>
      <c r="O887" s="192"/>
      <c r="P887" s="192"/>
      <c r="Q887" s="192"/>
      <c r="R887" s="192"/>
      <c r="S887" s="192"/>
      <c r="T887" s="192"/>
      <c r="U887" s="192"/>
      <c r="V887" s="192"/>
      <c r="W887" s="192"/>
      <c r="X887" s="192"/>
      <c r="Y887" s="192"/>
      <c r="Z887" s="192"/>
      <c r="AA887" s="192"/>
      <c r="AB887" s="192"/>
      <c r="AC887" s="192"/>
      <c r="AD887" s="192"/>
      <c r="AE887" s="192"/>
      <c r="AF887" s="192"/>
      <c r="AG887" s="192"/>
      <c r="AH887" s="192"/>
      <c r="AI887" s="192"/>
      <c r="AJ887" s="192"/>
      <c r="AK887" s="192"/>
      <c r="AL887" s="192"/>
      <c r="AM887" s="192"/>
      <c r="AN887" s="192"/>
      <c r="AO887" s="192"/>
      <c r="AP887" s="192"/>
      <c r="AQ887" s="192"/>
      <c r="AR887" s="192"/>
      <c r="AS887" s="192"/>
      <c r="AT887" s="192"/>
      <c r="AU887" s="192"/>
      <c r="AV887" s="192"/>
    </row>
    <row r="888">
      <c r="A888" s="192"/>
      <c r="B888" s="192"/>
      <c r="C888" s="192"/>
      <c r="D888" s="192"/>
      <c r="E888" s="192"/>
      <c r="F888" s="192"/>
      <c r="G888" s="192"/>
      <c r="H888" s="192"/>
      <c r="I888" s="192"/>
      <c r="J888" s="192"/>
      <c r="K888" s="192"/>
      <c r="L888" s="192"/>
      <c r="M888" s="192"/>
      <c r="N888" s="192"/>
      <c r="O888" s="192"/>
      <c r="P888" s="192"/>
      <c r="Q888" s="192"/>
      <c r="R888" s="192"/>
      <c r="S888" s="192"/>
      <c r="T888" s="192"/>
      <c r="U888" s="192"/>
      <c r="V888" s="192"/>
      <c r="W888" s="192"/>
      <c r="X888" s="192"/>
      <c r="Y888" s="192"/>
      <c r="Z888" s="192"/>
      <c r="AA888" s="192"/>
      <c r="AB888" s="192"/>
      <c r="AC888" s="192"/>
      <c r="AD888" s="192"/>
      <c r="AE888" s="192"/>
      <c r="AF888" s="192"/>
      <c r="AG888" s="192"/>
      <c r="AH888" s="192"/>
      <c r="AI888" s="192"/>
      <c r="AJ888" s="192"/>
      <c r="AK888" s="192"/>
      <c r="AL888" s="192"/>
      <c r="AM888" s="192"/>
      <c r="AN888" s="192"/>
      <c r="AO888" s="192"/>
      <c r="AP888" s="192"/>
      <c r="AQ888" s="192"/>
      <c r="AR888" s="192"/>
      <c r="AS888" s="192"/>
      <c r="AT888" s="192"/>
      <c r="AU888" s="192"/>
      <c r="AV888" s="192"/>
    </row>
    <row r="889">
      <c r="A889" s="192"/>
      <c r="B889" s="192"/>
      <c r="C889" s="192"/>
      <c r="D889" s="192"/>
      <c r="E889" s="192"/>
      <c r="F889" s="192"/>
      <c r="G889" s="192"/>
      <c r="H889" s="192"/>
      <c r="I889" s="192"/>
      <c r="J889" s="192"/>
      <c r="K889" s="192"/>
      <c r="L889" s="192"/>
      <c r="M889" s="192"/>
      <c r="N889" s="192"/>
      <c r="O889" s="192"/>
      <c r="P889" s="192"/>
      <c r="Q889" s="192"/>
      <c r="R889" s="192"/>
      <c r="S889" s="192"/>
      <c r="T889" s="192"/>
      <c r="U889" s="192"/>
      <c r="V889" s="192"/>
      <c r="W889" s="192"/>
      <c r="X889" s="192"/>
      <c r="Y889" s="192"/>
      <c r="Z889" s="192"/>
      <c r="AA889" s="192"/>
      <c r="AB889" s="192"/>
      <c r="AC889" s="192"/>
      <c r="AD889" s="192"/>
      <c r="AE889" s="192"/>
      <c r="AF889" s="192"/>
      <c r="AG889" s="192"/>
      <c r="AH889" s="192"/>
      <c r="AI889" s="192"/>
      <c r="AJ889" s="192"/>
      <c r="AK889" s="192"/>
      <c r="AL889" s="192"/>
      <c r="AM889" s="192"/>
      <c r="AN889" s="192"/>
      <c r="AO889" s="192"/>
      <c r="AP889" s="192"/>
      <c r="AQ889" s="192"/>
      <c r="AR889" s="192"/>
      <c r="AS889" s="192"/>
      <c r="AT889" s="192"/>
      <c r="AU889" s="192"/>
      <c r="AV889" s="192"/>
    </row>
    <row r="890">
      <c r="A890" s="192"/>
      <c r="B890" s="192"/>
      <c r="C890" s="192"/>
      <c r="D890" s="192"/>
      <c r="E890" s="192"/>
      <c r="F890" s="192"/>
      <c r="G890" s="192"/>
      <c r="H890" s="192"/>
      <c r="I890" s="192"/>
      <c r="J890" s="192"/>
      <c r="K890" s="192"/>
      <c r="L890" s="192"/>
      <c r="M890" s="192"/>
      <c r="N890" s="192"/>
      <c r="O890" s="192"/>
      <c r="P890" s="192"/>
      <c r="Q890" s="192"/>
      <c r="R890" s="192"/>
      <c r="S890" s="192"/>
      <c r="T890" s="192"/>
      <c r="U890" s="192"/>
      <c r="V890" s="192"/>
      <c r="W890" s="192"/>
      <c r="X890" s="192"/>
      <c r="Y890" s="192"/>
      <c r="Z890" s="192"/>
      <c r="AA890" s="192"/>
      <c r="AB890" s="192"/>
      <c r="AC890" s="192"/>
      <c r="AD890" s="192"/>
      <c r="AE890" s="192"/>
      <c r="AF890" s="192"/>
      <c r="AG890" s="192"/>
      <c r="AH890" s="192"/>
      <c r="AI890" s="192"/>
      <c r="AJ890" s="192"/>
      <c r="AK890" s="192"/>
      <c r="AL890" s="192"/>
      <c r="AM890" s="192"/>
      <c r="AN890" s="192"/>
      <c r="AO890" s="192"/>
      <c r="AP890" s="192"/>
      <c r="AQ890" s="192"/>
      <c r="AR890" s="192"/>
      <c r="AS890" s="192"/>
      <c r="AT890" s="192"/>
      <c r="AU890" s="192"/>
      <c r="AV890" s="192"/>
    </row>
    <row r="891">
      <c r="A891" s="192"/>
      <c r="B891" s="192"/>
      <c r="C891" s="192"/>
      <c r="D891" s="192"/>
      <c r="E891" s="192"/>
      <c r="F891" s="192"/>
      <c r="G891" s="192"/>
      <c r="H891" s="192"/>
      <c r="I891" s="192"/>
      <c r="J891" s="192"/>
      <c r="K891" s="192"/>
      <c r="L891" s="192"/>
      <c r="M891" s="192"/>
      <c r="N891" s="192"/>
      <c r="O891" s="192"/>
      <c r="P891" s="192"/>
      <c r="Q891" s="192"/>
      <c r="R891" s="192"/>
      <c r="S891" s="192"/>
      <c r="T891" s="192"/>
      <c r="U891" s="192"/>
      <c r="V891" s="192"/>
      <c r="W891" s="192"/>
      <c r="X891" s="192"/>
      <c r="Y891" s="192"/>
      <c r="Z891" s="192"/>
      <c r="AA891" s="192"/>
      <c r="AB891" s="192"/>
      <c r="AC891" s="192"/>
      <c r="AD891" s="192"/>
      <c r="AE891" s="192"/>
      <c r="AF891" s="192"/>
      <c r="AG891" s="192"/>
      <c r="AH891" s="192"/>
      <c r="AI891" s="192"/>
      <c r="AJ891" s="192"/>
      <c r="AK891" s="192"/>
      <c r="AL891" s="192"/>
      <c r="AM891" s="192"/>
      <c r="AN891" s="192"/>
      <c r="AO891" s="192"/>
      <c r="AP891" s="192"/>
      <c r="AQ891" s="192"/>
      <c r="AR891" s="192"/>
      <c r="AS891" s="192"/>
      <c r="AT891" s="192"/>
      <c r="AU891" s="192"/>
      <c r="AV891" s="192"/>
    </row>
    <row r="892">
      <c r="A892" s="192"/>
      <c r="B892" s="192"/>
      <c r="C892" s="192"/>
      <c r="D892" s="192"/>
      <c r="E892" s="192"/>
      <c r="F892" s="192"/>
      <c r="G892" s="192"/>
      <c r="H892" s="192"/>
      <c r="I892" s="192"/>
      <c r="J892" s="192"/>
      <c r="K892" s="192"/>
      <c r="L892" s="192"/>
      <c r="M892" s="192"/>
      <c r="N892" s="192"/>
      <c r="O892" s="192"/>
      <c r="P892" s="192"/>
      <c r="Q892" s="192"/>
      <c r="R892" s="192"/>
      <c r="S892" s="192"/>
      <c r="T892" s="192"/>
      <c r="U892" s="192"/>
      <c r="V892" s="192"/>
      <c r="W892" s="192"/>
      <c r="X892" s="192"/>
      <c r="Y892" s="192"/>
      <c r="Z892" s="192"/>
      <c r="AA892" s="192"/>
      <c r="AB892" s="192"/>
      <c r="AC892" s="192"/>
      <c r="AD892" s="192"/>
      <c r="AE892" s="192"/>
      <c r="AF892" s="192"/>
      <c r="AG892" s="192"/>
      <c r="AH892" s="192"/>
      <c r="AI892" s="192"/>
      <c r="AJ892" s="192"/>
      <c r="AK892" s="192"/>
      <c r="AL892" s="192"/>
      <c r="AM892" s="192"/>
      <c r="AN892" s="192"/>
      <c r="AO892" s="192"/>
      <c r="AP892" s="192"/>
      <c r="AQ892" s="192"/>
      <c r="AR892" s="192"/>
      <c r="AS892" s="192"/>
      <c r="AT892" s="192"/>
      <c r="AU892" s="192"/>
      <c r="AV892" s="192"/>
    </row>
    <row r="893">
      <c r="A893" s="192"/>
      <c r="B893" s="192"/>
      <c r="C893" s="192"/>
      <c r="D893" s="192"/>
      <c r="E893" s="192"/>
      <c r="F893" s="192"/>
      <c r="G893" s="192"/>
      <c r="H893" s="192"/>
      <c r="I893" s="192"/>
      <c r="J893" s="192"/>
      <c r="K893" s="192"/>
      <c r="L893" s="192"/>
      <c r="M893" s="192"/>
      <c r="N893" s="192"/>
      <c r="O893" s="192"/>
      <c r="P893" s="192"/>
      <c r="Q893" s="192"/>
      <c r="R893" s="192"/>
      <c r="S893" s="192"/>
      <c r="T893" s="192"/>
      <c r="U893" s="192"/>
      <c r="V893" s="192"/>
      <c r="W893" s="192"/>
      <c r="X893" s="192"/>
      <c r="Y893" s="192"/>
      <c r="Z893" s="192"/>
      <c r="AA893" s="192"/>
      <c r="AB893" s="192"/>
      <c r="AC893" s="192"/>
      <c r="AD893" s="192"/>
      <c r="AE893" s="192"/>
      <c r="AF893" s="192"/>
      <c r="AG893" s="192"/>
      <c r="AH893" s="192"/>
      <c r="AI893" s="192"/>
      <c r="AJ893" s="192"/>
      <c r="AK893" s="192"/>
      <c r="AL893" s="192"/>
      <c r="AM893" s="192"/>
      <c r="AN893" s="192"/>
      <c r="AO893" s="192"/>
      <c r="AP893" s="192"/>
      <c r="AQ893" s="192"/>
      <c r="AR893" s="192"/>
      <c r="AS893" s="192"/>
      <c r="AT893" s="192"/>
      <c r="AU893" s="192"/>
      <c r="AV893" s="192"/>
    </row>
    <row r="894">
      <c r="A894" s="192"/>
      <c r="B894" s="192"/>
      <c r="C894" s="192"/>
      <c r="D894" s="192"/>
      <c r="E894" s="192"/>
      <c r="F894" s="192"/>
      <c r="G894" s="192"/>
      <c r="H894" s="192"/>
      <c r="I894" s="192"/>
      <c r="J894" s="192"/>
      <c r="K894" s="192"/>
      <c r="L894" s="192"/>
      <c r="M894" s="192"/>
      <c r="N894" s="192"/>
      <c r="O894" s="192"/>
      <c r="P894" s="192"/>
      <c r="Q894" s="192"/>
      <c r="R894" s="192"/>
      <c r="S894" s="192"/>
      <c r="T894" s="192"/>
      <c r="U894" s="192"/>
      <c r="V894" s="192"/>
      <c r="W894" s="192"/>
      <c r="X894" s="192"/>
      <c r="Y894" s="192"/>
      <c r="Z894" s="192"/>
      <c r="AA894" s="192"/>
      <c r="AB894" s="192"/>
      <c r="AC894" s="192"/>
      <c r="AD894" s="192"/>
      <c r="AE894" s="192"/>
      <c r="AF894" s="192"/>
      <c r="AG894" s="192"/>
      <c r="AH894" s="192"/>
      <c r="AI894" s="192"/>
      <c r="AJ894" s="192"/>
      <c r="AK894" s="192"/>
      <c r="AL894" s="192"/>
      <c r="AM894" s="192"/>
      <c r="AN894" s="192"/>
      <c r="AO894" s="192"/>
      <c r="AP894" s="192"/>
      <c r="AQ894" s="192"/>
      <c r="AR894" s="192"/>
      <c r="AS894" s="192"/>
      <c r="AT894" s="192"/>
      <c r="AU894" s="192"/>
      <c r="AV894" s="192"/>
    </row>
    <row r="895">
      <c r="A895" s="192"/>
      <c r="B895" s="192"/>
      <c r="C895" s="192"/>
      <c r="D895" s="192"/>
      <c r="E895" s="192"/>
      <c r="F895" s="192"/>
      <c r="G895" s="192"/>
      <c r="H895" s="192"/>
      <c r="I895" s="192"/>
      <c r="J895" s="192"/>
      <c r="K895" s="192"/>
      <c r="L895" s="192"/>
      <c r="M895" s="192"/>
      <c r="N895" s="192"/>
      <c r="O895" s="192"/>
      <c r="P895" s="192"/>
      <c r="Q895" s="192"/>
      <c r="R895" s="192"/>
      <c r="S895" s="192"/>
      <c r="T895" s="192"/>
      <c r="U895" s="192"/>
      <c r="V895" s="192"/>
      <c r="W895" s="192"/>
      <c r="X895" s="192"/>
      <c r="Y895" s="192"/>
      <c r="Z895" s="192"/>
      <c r="AA895" s="192"/>
      <c r="AB895" s="192"/>
      <c r="AC895" s="192"/>
      <c r="AD895" s="192"/>
      <c r="AE895" s="192"/>
      <c r="AF895" s="192"/>
      <c r="AG895" s="192"/>
      <c r="AH895" s="192"/>
      <c r="AI895" s="192"/>
      <c r="AJ895" s="192"/>
      <c r="AK895" s="192"/>
      <c r="AL895" s="192"/>
      <c r="AM895" s="192"/>
      <c r="AN895" s="192"/>
      <c r="AO895" s="192"/>
      <c r="AP895" s="192"/>
      <c r="AQ895" s="192"/>
      <c r="AR895" s="192"/>
      <c r="AS895" s="192"/>
      <c r="AT895" s="192"/>
      <c r="AU895" s="192"/>
      <c r="AV895" s="192"/>
    </row>
    <row r="896">
      <c r="A896" s="192"/>
      <c r="B896" s="192"/>
      <c r="C896" s="192"/>
      <c r="D896" s="192"/>
      <c r="E896" s="192"/>
      <c r="F896" s="192"/>
      <c r="G896" s="192"/>
      <c r="H896" s="192"/>
      <c r="I896" s="192"/>
      <c r="J896" s="192"/>
      <c r="K896" s="192"/>
      <c r="L896" s="192"/>
      <c r="M896" s="192"/>
      <c r="N896" s="192"/>
      <c r="O896" s="192"/>
      <c r="P896" s="192"/>
      <c r="Q896" s="192"/>
      <c r="R896" s="192"/>
      <c r="S896" s="192"/>
      <c r="T896" s="192"/>
      <c r="U896" s="192"/>
      <c r="V896" s="192"/>
      <c r="W896" s="192"/>
      <c r="X896" s="192"/>
      <c r="Y896" s="192"/>
      <c r="Z896" s="192"/>
      <c r="AA896" s="192"/>
      <c r="AB896" s="192"/>
      <c r="AC896" s="192"/>
      <c r="AD896" s="192"/>
      <c r="AE896" s="192"/>
      <c r="AF896" s="192"/>
      <c r="AG896" s="192"/>
      <c r="AH896" s="192"/>
      <c r="AI896" s="192"/>
      <c r="AJ896" s="192"/>
      <c r="AK896" s="192"/>
      <c r="AL896" s="192"/>
      <c r="AM896" s="192"/>
      <c r="AN896" s="192"/>
      <c r="AO896" s="192"/>
      <c r="AP896" s="192"/>
      <c r="AQ896" s="192"/>
      <c r="AR896" s="192"/>
      <c r="AS896" s="192"/>
      <c r="AT896" s="192"/>
      <c r="AU896" s="192"/>
      <c r="AV896" s="192"/>
    </row>
    <row r="897">
      <c r="A897" s="192"/>
      <c r="B897" s="192"/>
      <c r="C897" s="192"/>
      <c r="D897" s="192"/>
      <c r="E897" s="192"/>
      <c r="F897" s="192"/>
      <c r="G897" s="192"/>
      <c r="H897" s="192"/>
      <c r="I897" s="192"/>
      <c r="J897" s="192"/>
      <c r="K897" s="192"/>
      <c r="L897" s="192"/>
      <c r="M897" s="192"/>
      <c r="N897" s="192"/>
      <c r="O897" s="192"/>
      <c r="P897" s="192"/>
      <c r="Q897" s="192"/>
      <c r="R897" s="192"/>
      <c r="S897" s="192"/>
      <c r="T897" s="192"/>
      <c r="U897" s="192"/>
      <c r="V897" s="192"/>
      <c r="W897" s="192"/>
      <c r="X897" s="192"/>
      <c r="Y897" s="192"/>
      <c r="Z897" s="192"/>
      <c r="AA897" s="192"/>
      <c r="AB897" s="192"/>
      <c r="AC897" s="192"/>
      <c r="AD897" s="192"/>
      <c r="AE897" s="192"/>
      <c r="AF897" s="192"/>
      <c r="AG897" s="192"/>
      <c r="AH897" s="192"/>
      <c r="AI897" s="192"/>
      <c r="AJ897" s="192"/>
      <c r="AK897" s="192"/>
      <c r="AL897" s="192"/>
      <c r="AM897" s="192"/>
      <c r="AN897" s="192"/>
      <c r="AO897" s="192"/>
      <c r="AP897" s="192"/>
      <c r="AQ897" s="192"/>
      <c r="AR897" s="192"/>
      <c r="AS897" s="192"/>
      <c r="AT897" s="192"/>
      <c r="AU897" s="192"/>
      <c r="AV897" s="192"/>
    </row>
    <row r="898">
      <c r="A898" s="192"/>
      <c r="B898" s="192"/>
      <c r="C898" s="192"/>
      <c r="D898" s="192"/>
      <c r="E898" s="192"/>
      <c r="F898" s="192"/>
      <c r="G898" s="192"/>
      <c r="H898" s="192"/>
      <c r="I898" s="192"/>
      <c r="J898" s="192"/>
      <c r="K898" s="192"/>
      <c r="L898" s="192"/>
      <c r="M898" s="192"/>
      <c r="N898" s="192"/>
      <c r="O898" s="192"/>
      <c r="P898" s="192"/>
      <c r="Q898" s="192"/>
      <c r="R898" s="192"/>
      <c r="S898" s="192"/>
      <c r="T898" s="192"/>
      <c r="U898" s="192"/>
      <c r="V898" s="192"/>
      <c r="W898" s="192"/>
      <c r="X898" s="192"/>
      <c r="Y898" s="192"/>
      <c r="Z898" s="192"/>
      <c r="AA898" s="192"/>
      <c r="AB898" s="192"/>
      <c r="AC898" s="192"/>
      <c r="AD898" s="192"/>
      <c r="AE898" s="192"/>
      <c r="AF898" s="192"/>
      <c r="AG898" s="192"/>
      <c r="AH898" s="192"/>
      <c r="AI898" s="192"/>
      <c r="AJ898" s="192"/>
      <c r="AK898" s="192"/>
      <c r="AL898" s="192"/>
      <c r="AM898" s="192"/>
      <c r="AN898" s="192"/>
      <c r="AO898" s="192"/>
      <c r="AP898" s="192"/>
      <c r="AQ898" s="192"/>
      <c r="AR898" s="192"/>
      <c r="AS898" s="192"/>
      <c r="AT898" s="192"/>
      <c r="AU898" s="192"/>
      <c r="AV898" s="192"/>
    </row>
    <row r="899">
      <c r="A899" s="192"/>
      <c r="B899" s="192"/>
      <c r="C899" s="192"/>
      <c r="D899" s="192"/>
      <c r="E899" s="192"/>
      <c r="F899" s="192"/>
      <c r="G899" s="192"/>
      <c r="H899" s="192"/>
      <c r="I899" s="192"/>
      <c r="J899" s="192"/>
      <c r="K899" s="192"/>
      <c r="L899" s="192"/>
      <c r="M899" s="192"/>
      <c r="N899" s="192"/>
      <c r="O899" s="192"/>
      <c r="P899" s="192"/>
      <c r="Q899" s="192"/>
      <c r="R899" s="192"/>
      <c r="S899" s="192"/>
      <c r="T899" s="192"/>
      <c r="U899" s="192"/>
      <c r="V899" s="192"/>
      <c r="W899" s="192"/>
      <c r="X899" s="192"/>
      <c r="Y899" s="192"/>
      <c r="Z899" s="192"/>
      <c r="AA899" s="192"/>
      <c r="AB899" s="192"/>
      <c r="AC899" s="192"/>
      <c r="AD899" s="192"/>
      <c r="AE899" s="192"/>
      <c r="AF899" s="192"/>
      <c r="AG899" s="192"/>
      <c r="AH899" s="192"/>
      <c r="AI899" s="192"/>
      <c r="AJ899" s="192"/>
      <c r="AK899" s="192"/>
      <c r="AL899" s="192"/>
      <c r="AM899" s="192"/>
      <c r="AN899" s="192"/>
      <c r="AO899" s="192"/>
      <c r="AP899" s="192"/>
      <c r="AQ899" s="192"/>
      <c r="AR899" s="192"/>
      <c r="AS899" s="192"/>
      <c r="AT899" s="192"/>
      <c r="AU899" s="192"/>
      <c r="AV899" s="192"/>
    </row>
    <row r="900">
      <c r="A900" s="192"/>
      <c r="B900" s="192"/>
      <c r="C900" s="192"/>
      <c r="D900" s="192"/>
      <c r="E900" s="192"/>
      <c r="F900" s="192"/>
      <c r="G900" s="192"/>
      <c r="H900" s="192"/>
      <c r="I900" s="192"/>
      <c r="J900" s="192"/>
      <c r="K900" s="192"/>
      <c r="L900" s="192"/>
      <c r="M900" s="192"/>
      <c r="N900" s="192"/>
      <c r="O900" s="192"/>
      <c r="P900" s="192"/>
      <c r="Q900" s="192"/>
      <c r="R900" s="192"/>
      <c r="S900" s="192"/>
      <c r="T900" s="192"/>
      <c r="U900" s="192"/>
      <c r="V900" s="192"/>
      <c r="W900" s="192"/>
      <c r="X900" s="192"/>
      <c r="Y900" s="192"/>
      <c r="Z900" s="192"/>
      <c r="AA900" s="192"/>
      <c r="AB900" s="192"/>
      <c r="AC900" s="192"/>
      <c r="AD900" s="192"/>
      <c r="AE900" s="192"/>
      <c r="AF900" s="192"/>
      <c r="AG900" s="192"/>
      <c r="AH900" s="192"/>
      <c r="AI900" s="192"/>
      <c r="AJ900" s="192"/>
      <c r="AK900" s="192"/>
      <c r="AL900" s="192"/>
      <c r="AM900" s="192"/>
      <c r="AN900" s="192"/>
      <c r="AO900" s="192"/>
      <c r="AP900" s="192"/>
      <c r="AQ900" s="192"/>
      <c r="AR900" s="192"/>
      <c r="AS900" s="192"/>
      <c r="AT900" s="192"/>
      <c r="AU900" s="192"/>
      <c r="AV900" s="192"/>
    </row>
    <row r="901">
      <c r="A901" s="192"/>
      <c r="B901" s="192"/>
      <c r="C901" s="192"/>
      <c r="D901" s="192"/>
      <c r="E901" s="192"/>
      <c r="F901" s="192"/>
      <c r="G901" s="192"/>
      <c r="H901" s="192"/>
      <c r="I901" s="192"/>
      <c r="J901" s="192"/>
      <c r="K901" s="192"/>
      <c r="L901" s="192"/>
      <c r="M901" s="192"/>
      <c r="N901" s="192"/>
      <c r="O901" s="192"/>
      <c r="P901" s="192"/>
      <c r="Q901" s="192"/>
      <c r="R901" s="192"/>
      <c r="S901" s="192"/>
      <c r="T901" s="192"/>
      <c r="U901" s="192"/>
      <c r="V901" s="192"/>
      <c r="W901" s="192"/>
      <c r="X901" s="192"/>
      <c r="Y901" s="192"/>
      <c r="Z901" s="192"/>
      <c r="AA901" s="192"/>
      <c r="AB901" s="192"/>
      <c r="AC901" s="192"/>
      <c r="AD901" s="192"/>
      <c r="AE901" s="192"/>
      <c r="AF901" s="192"/>
      <c r="AG901" s="192"/>
      <c r="AH901" s="192"/>
      <c r="AI901" s="192"/>
      <c r="AJ901" s="192"/>
      <c r="AK901" s="192"/>
      <c r="AL901" s="192"/>
      <c r="AM901" s="192"/>
      <c r="AN901" s="192"/>
      <c r="AO901" s="192"/>
      <c r="AP901" s="192"/>
      <c r="AQ901" s="192"/>
      <c r="AR901" s="192"/>
      <c r="AS901" s="192"/>
      <c r="AT901" s="192"/>
      <c r="AU901" s="192"/>
      <c r="AV901" s="192"/>
    </row>
    <row r="902">
      <c r="A902" s="192"/>
      <c r="B902" s="192"/>
      <c r="C902" s="192"/>
      <c r="D902" s="192"/>
      <c r="E902" s="192"/>
      <c r="F902" s="192"/>
      <c r="G902" s="192"/>
      <c r="H902" s="192"/>
      <c r="I902" s="192"/>
      <c r="J902" s="192"/>
      <c r="K902" s="192"/>
      <c r="L902" s="192"/>
      <c r="M902" s="192"/>
      <c r="N902" s="192"/>
      <c r="O902" s="192"/>
      <c r="P902" s="192"/>
      <c r="Q902" s="192"/>
      <c r="R902" s="192"/>
      <c r="S902" s="192"/>
      <c r="T902" s="192"/>
      <c r="U902" s="192"/>
      <c r="V902" s="192"/>
      <c r="W902" s="192"/>
      <c r="X902" s="192"/>
      <c r="Y902" s="192"/>
      <c r="Z902" s="192"/>
      <c r="AA902" s="192"/>
      <c r="AB902" s="192"/>
      <c r="AC902" s="192"/>
      <c r="AD902" s="192"/>
      <c r="AE902" s="192"/>
      <c r="AF902" s="192"/>
      <c r="AG902" s="192"/>
      <c r="AH902" s="192"/>
      <c r="AI902" s="192"/>
      <c r="AJ902" s="192"/>
      <c r="AK902" s="192"/>
      <c r="AL902" s="192"/>
      <c r="AM902" s="192"/>
      <c r="AN902" s="192"/>
      <c r="AO902" s="192"/>
      <c r="AP902" s="192"/>
      <c r="AQ902" s="192"/>
      <c r="AR902" s="192"/>
      <c r="AS902" s="192"/>
      <c r="AT902" s="192"/>
      <c r="AU902" s="192"/>
      <c r="AV902" s="192"/>
    </row>
    <row r="903">
      <c r="A903" s="192"/>
      <c r="B903" s="192"/>
      <c r="C903" s="192"/>
      <c r="D903" s="192"/>
      <c r="E903" s="192"/>
      <c r="F903" s="192"/>
      <c r="G903" s="192"/>
      <c r="H903" s="192"/>
      <c r="I903" s="192"/>
      <c r="J903" s="192"/>
      <c r="K903" s="192"/>
      <c r="L903" s="192"/>
      <c r="M903" s="192"/>
      <c r="N903" s="192"/>
      <c r="O903" s="192"/>
      <c r="P903" s="192"/>
      <c r="Q903" s="192"/>
      <c r="R903" s="192"/>
      <c r="S903" s="192"/>
      <c r="T903" s="192"/>
      <c r="U903" s="192"/>
      <c r="V903" s="192"/>
      <c r="W903" s="192"/>
      <c r="X903" s="192"/>
      <c r="Y903" s="192"/>
      <c r="Z903" s="192"/>
      <c r="AA903" s="192"/>
      <c r="AB903" s="192"/>
      <c r="AC903" s="192"/>
      <c r="AD903" s="192"/>
      <c r="AE903" s="192"/>
      <c r="AF903" s="192"/>
      <c r="AG903" s="192"/>
      <c r="AH903" s="192"/>
      <c r="AI903" s="192"/>
      <c r="AJ903" s="192"/>
      <c r="AK903" s="192"/>
      <c r="AL903" s="192"/>
      <c r="AM903" s="192"/>
      <c r="AN903" s="192"/>
      <c r="AO903" s="192"/>
      <c r="AP903" s="192"/>
      <c r="AQ903" s="192"/>
      <c r="AR903" s="192"/>
      <c r="AS903" s="192"/>
      <c r="AT903" s="192"/>
      <c r="AU903" s="192"/>
      <c r="AV903" s="192"/>
    </row>
    <row r="904">
      <c r="A904" s="192"/>
      <c r="B904" s="192"/>
      <c r="C904" s="192"/>
      <c r="D904" s="192"/>
      <c r="E904" s="192"/>
      <c r="F904" s="192"/>
      <c r="G904" s="192"/>
      <c r="H904" s="192"/>
      <c r="I904" s="192"/>
      <c r="J904" s="192"/>
      <c r="K904" s="192"/>
      <c r="L904" s="192"/>
      <c r="M904" s="192"/>
      <c r="N904" s="192"/>
      <c r="O904" s="192"/>
      <c r="P904" s="192"/>
      <c r="Q904" s="192"/>
      <c r="R904" s="192"/>
      <c r="S904" s="192"/>
      <c r="T904" s="192"/>
      <c r="U904" s="192"/>
      <c r="V904" s="192"/>
      <c r="W904" s="192"/>
      <c r="X904" s="192"/>
      <c r="Y904" s="192"/>
      <c r="Z904" s="192"/>
      <c r="AA904" s="192"/>
      <c r="AB904" s="192"/>
      <c r="AC904" s="192"/>
      <c r="AD904" s="192"/>
      <c r="AE904" s="192"/>
      <c r="AF904" s="192"/>
      <c r="AG904" s="192"/>
      <c r="AH904" s="192"/>
      <c r="AI904" s="192"/>
      <c r="AJ904" s="192"/>
      <c r="AK904" s="192"/>
      <c r="AL904" s="192"/>
      <c r="AM904" s="192"/>
      <c r="AN904" s="192"/>
      <c r="AO904" s="192"/>
      <c r="AP904" s="192"/>
      <c r="AQ904" s="192"/>
      <c r="AR904" s="192"/>
      <c r="AS904" s="192"/>
      <c r="AT904" s="192"/>
      <c r="AU904" s="192"/>
      <c r="AV904" s="192"/>
    </row>
    <row r="905">
      <c r="A905" s="192"/>
      <c r="B905" s="192"/>
      <c r="C905" s="192"/>
      <c r="D905" s="192"/>
      <c r="E905" s="192"/>
      <c r="F905" s="192"/>
      <c r="G905" s="192"/>
      <c r="H905" s="192"/>
      <c r="I905" s="192"/>
      <c r="J905" s="192"/>
      <c r="K905" s="192"/>
      <c r="L905" s="192"/>
      <c r="M905" s="192"/>
      <c r="N905" s="192"/>
      <c r="O905" s="192"/>
      <c r="P905" s="192"/>
      <c r="Q905" s="192"/>
      <c r="R905" s="192"/>
      <c r="S905" s="192"/>
      <c r="T905" s="192"/>
      <c r="U905" s="192"/>
      <c r="V905" s="192"/>
      <c r="W905" s="192"/>
      <c r="X905" s="192"/>
      <c r="Y905" s="192"/>
      <c r="Z905" s="192"/>
      <c r="AA905" s="192"/>
      <c r="AB905" s="192"/>
      <c r="AC905" s="192"/>
      <c r="AD905" s="192"/>
      <c r="AE905" s="192"/>
      <c r="AF905" s="192"/>
      <c r="AG905" s="192"/>
      <c r="AH905" s="192"/>
      <c r="AI905" s="192"/>
      <c r="AJ905" s="192"/>
      <c r="AK905" s="192"/>
      <c r="AL905" s="192"/>
      <c r="AM905" s="192"/>
      <c r="AN905" s="192"/>
      <c r="AO905" s="192"/>
      <c r="AP905" s="192"/>
      <c r="AQ905" s="192"/>
      <c r="AR905" s="192"/>
      <c r="AS905" s="192"/>
      <c r="AT905" s="192"/>
      <c r="AU905" s="192"/>
      <c r="AV905" s="192"/>
    </row>
    <row r="906">
      <c r="A906" s="192"/>
      <c r="B906" s="192"/>
      <c r="C906" s="192"/>
      <c r="D906" s="192"/>
      <c r="E906" s="192"/>
      <c r="F906" s="192"/>
      <c r="G906" s="192"/>
      <c r="H906" s="192"/>
      <c r="I906" s="192"/>
      <c r="J906" s="192"/>
      <c r="K906" s="192"/>
      <c r="L906" s="192"/>
      <c r="M906" s="192"/>
      <c r="N906" s="192"/>
      <c r="O906" s="192"/>
      <c r="P906" s="192"/>
      <c r="Q906" s="192"/>
      <c r="R906" s="192"/>
      <c r="S906" s="192"/>
      <c r="T906" s="192"/>
      <c r="U906" s="192"/>
      <c r="V906" s="192"/>
      <c r="W906" s="192"/>
      <c r="X906" s="192"/>
      <c r="Y906" s="192"/>
      <c r="Z906" s="192"/>
      <c r="AA906" s="192"/>
      <c r="AB906" s="192"/>
      <c r="AC906" s="192"/>
      <c r="AD906" s="192"/>
      <c r="AE906" s="192"/>
      <c r="AF906" s="192"/>
      <c r="AG906" s="192"/>
      <c r="AH906" s="192"/>
      <c r="AI906" s="192"/>
      <c r="AJ906" s="192"/>
      <c r="AK906" s="192"/>
      <c r="AL906" s="192"/>
      <c r="AM906" s="192"/>
      <c r="AN906" s="192"/>
      <c r="AO906" s="192"/>
      <c r="AP906" s="192"/>
      <c r="AQ906" s="192"/>
      <c r="AR906" s="192"/>
      <c r="AS906" s="192"/>
      <c r="AT906" s="192"/>
      <c r="AU906" s="192"/>
      <c r="AV906" s="192"/>
    </row>
    <row r="907">
      <c r="A907" s="192"/>
      <c r="B907" s="192"/>
      <c r="C907" s="192"/>
      <c r="D907" s="192"/>
      <c r="E907" s="192"/>
      <c r="F907" s="192"/>
      <c r="G907" s="192"/>
      <c r="H907" s="192"/>
      <c r="I907" s="192"/>
      <c r="J907" s="192"/>
      <c r="K907" s="192"/>
      <c r="L907" s="192"/>
      <c r="M907" s="192"/>
      <c r="N907" s="192"/>
      <c r="O907" s="192"/>
      <c r="P907" s="192"/>
      <c r="Q907" s="192"/>
      <c r="R907" s="192"/>
      <c r="S907" s="192"/>
      <c r="T907" s="192"/>
      <c r="U907" s="192"/>
      <c r="V907" s="192"/>
      <c r="W907" s="192"/>
      <c r="X907" s="192"/>
      <c r="Y907" s="192"/>
      <c r="Z907" s="192"/>
      <c r="AA907" s="192"/>
      <c r="AB907" s="192"/>
      <c r="AC907" s="192"/>
      <c r="AD907" s="192"/>
      <c r="AE907" s="192"/>
      <c r="AF907" s="192"/>
      <c r="AG907" s="192"/>
      <c r="AH907" s="192"/>
      <c r="AI907" s="192"/>
      <c r="AJ907" s="192"/>
      <c r="AK907" s="192"/>
      <c r="AL907" s="192"/>
      <c r="AM907" s="192"/>
      <c r="AN907" s="192"/>
      <c r="AO907" s="192"/>
      <c r="AP907" s="192"/>
      <c r="AQ907" s="192"/>
      <c r="AR907" s="192"/>
      <c r="AS907" s="192"/>
      <c r="AT907" s="192"/>
      <c r="AU907" s="192"/>
      <c r="AV907" s="192"/>
    </row>
    <row r="908">
      <c r="A908" s="192"/>
      <c r="B908" s="192"/>
      <c r="C908" s="192"/>
      <c r="D908" s="192"/>
      <c r="E908" s="192"/>
      <c r="F908" s="192"/>
      <c r="G908" s="192"/>
      <c r="H908" s="192"/>
      <c r="I908" s="192"/>
      <c r="J908" s="192"/>
      <c r="K908" s="192"/>
      <c r="L908" s="192"/>
      <c r="M908" s="192"/>
      <c r="N908" s="192"/>
      <c r="O908" s="192"/>
      <c r="P908" s="192"/>
      <c r="Q908" s="192"/>
      <c r="R908" s="192"/>
      <c r="S908" s="192"/>
      <c r="T908" s="192"/>
      <c r="U908" s="192"/>
      <c r="V908" s="192"/>
      <c r="W908" s="192"/>
      <c r="X908" s="192"/>
      <c r="Y908" s="192"/>
      <c r="Z908" s="192"/>
      <c r="AA908" s="192"/>
      <c r="AB908" s="192"/>
      <c r="AC908" s="192"/>
      <c r="AD908" s="192"/>
      <c r="AE908" s="192"/>
      <c r="AF908" s="192"/>
      <c r="AG908" s="192"/>
      <c r="AH908" s="192"/>
      <c r="AI908" s="192"/>
      <c r="AJ908" s="192"/>
      <c r="AK908" s="192"/>
      <c r="AL908" s="192"/>
      <c r="AM908" s="192"/>
      <c r="AN908" s="192"/>
      <c r="AO908" s="192"/>
      <c r="AP908" s="192"/>
      <c r="AQ908" s="192"/>
      <c r="AR908" s="192"/>
      <c r="AS908" s="192"/>
      <c r="AT908" s="192"/>
      <c r="AU908" s="192"/>
      <c r="AV908" s="192"/>
    </row>
    <row r="909">
      <c r="A909" s="192"/>
      <c r="B909" s="192"/>
      <c r="C909" s="192"/>
      <c r="D909" s="192"/>
      <c r="E909" s="192"/>
      <c r="F909" s="192"/>
      <c r="G909" s="192"/>
      <c r="H909" s="192"/>
      <c r="I909" s="192"/>
      <c r="J909" s="192"/>
      <c r="K909" s="192"/>
      <c r="L909" s="192"/>
      <c r="M909" s="192"/>
      <c r="N909" s="192"/>
      <c r="O909" s="192"/>
      <c r="P909" s="192"/>
      <c r="Q909" s="192"/>
      <c r="R909" s="192"/>
      <c r="S909" s="192"/>
      <c r="T909" s="192"/>
      <c r="U909" s="192"/>
      <c r="V909" s="192"/>
      <c r="W909" s="192"/>
      <c r="X909" s="192"/>
      <c r="Y909" s="192"/>
      <c r="Z909" s="192"/>
      <c r="AA909" s="192"/>
      <c r="AB909" s="192"/>
      <c r="AC909" s="192"/>
      <c r="AD909" s="192"/>
      <c r="AE909" s="192"/>
      <c r="AF909" s="192"/>
      <c r="AG909" s="192"/>
      <c r="AH909" s="192"/>
      <c r="AI909" s="192"/>
      <c r="AJ909" s="192"/>
      <c r="AK909" s="192"/>
      <c r="AL909" s="192"/>
      <c r="AM909" s="192"/>
      <c r="AN909" s="192"/>
      <c r="AO909" s="192"/>
      <c r="AP909" s="192"/>
      <c r="AQ909" s="192"/>
      <c r="AR909" s="192"/>
      <c r="AS909" s="192"/>
      <c r="AT909" s="192"/>
      <c r="AU909" s="192"/>
      <c r="AV909" s="192"/>
    </row>
    <row r="910">
      <c r="A910" s="192"/>
      <c r="B910" s="192"/>
      <c r="C910" s="192"/>
      <c r="D910" s="192"/>
      <c r="E910" s="192"/>
      <c r="F910" s="192"/>
      <c r="G910" s="192"/>
      <c r="H910" s="192"/>
      <c r="I910" s="192"/>
      <c r="J910" s="192"/>
      <c r="K910" s="192"/>
      <c r="L910" s="192"/>
      <c r="M910" s="192"/>
      <c r="N910" s="192"/>
      <c r="O910" s="192"/>
      <c r="P910" s="192"/>
      <c r="Q910" s="192"/>
      <c r="R910" s="192"/>
      <c r="S910" s="192"/>
      <c r="T910" s="192"/>
      <c r="U910" s="192"/>
      <c r="V910" s="192"/>
      <c r="W910" s="192"/>
      <c r="X910" s="192"/>
      <c r="Y910" s="192"/>
      <c r="Z910" s="192"/>
      <c r="AA910" s="192"/>
      <c r="AB910" s="192"/>
      <c r="AC910" s="192"/>
      <c r="AD910" s="192"/>
      <c r="AE910" s="192"/>
      <c r="AF910" s="192"/>
      <c r="AG910" s="192"/>
      <c r="AH910" s="192"/>
      <c r="AI910" s="192"/>
      <c r="AJ910" s="192"/>
      <c r="AK910" s="192"/>
      <c r="AL910" s="192"/>
      <c r="AM910" s="192"/>
      <c r="AN910" s="192"/>
      <c r="AO910" s="192"/>
      <c r="AP910" s="192"/>
      <c r="AQ910" s="192"/>
      <c r="AR910" s="192"/>
      <c r="AS910" s="192"/>
      <c r="AT910" s="192"/>
      <c r="AU910" s="192"/>
      <c r="AV910" s="192"/>
    </row>
    <row r="911">
      <c r="A911" s="192"/>
      <c r="B911" s="192"/>
      <c r="C911" s="192"/>
      <c r="D911" s="192"/>
      <c r="E911" s="192"/>
      <c r="F911" s="192"/>
      <c r="G911" s="192"/>
      <c r="H911" s="192"/>
      <c r="I911" s="192"/>
      <c r="J911" s="192"/>
      <c r="K911" s="192"/>
      <c r="L911" s="192"/>
      <c r="M911" s="192"/>
      <c r="N911" s="192"/>
      <c r="O911" s="192"/>
      <c r="P911" s="192"/>
      <c r="Q911" s="192"/>
      <c r="R911" s="192"/>
      <c r="S911" s="192"/>
      <c r="T911" s="192"/>
      <c r="U911" s="192"/>
      <c r="V911" s="192"/>
      <c r="W911" s="192"/>
      <c r="X911" s="192"/>
      <c r="Y911" s="192"/>
      <c r="Z911" s="192"/>
      <c r="AA911" s="192"/>
      <c r="AB911" s="192"/>
      <c r="AC911" s="192"/>
      <c r="AD911" s="192"/>
      <c r="AE911" s="192"/>
      <c r="AF911" s="192"/>
      <c r="AG911" s="192"/>
      <c r="AH911" s="192"/>
      <c r="AI911" s="192"/>
      <c r="AJ911" s="192"/>
      <c r="AK911" s="192"/>
      <c r="AL911" s="192"/>
      <c r="AM911" s="192"/>
      <c r="AN911" s="192"/>
      <c r="AO911" s="192"/>
      <c r="AP911" s="192"/>
      <c r="AQ911" s="192"/>
      <c r="AR911" s="192"/>
      <c r="AS911" s="192"/>
      <c r="AT911" s="192"/>
      <c r="AU911" s="192"/>
      <c r="AV911" s="192"/>
    </row>
    <row r="912">
      <c r="A912" s="192"/>
      <c r="B912" s="192"/>
      <c r="C912" s="192"/>
      <c r="D912" s="192"/>
      <c r="E912" s="192"/>
      <c r="F912" s="192"/>
      <c r="G912" s="192"/>
      <c r="H912" s="192"/>
      <c r="I912" s="192"/>
      <c r="J912" s="192"/>
      <c r="K912" s="192"/>
      <c r="L912" s="192"/>
      <c r="M912" s="192"/>
      <c r="N912" s="192"/>
      <c r="O912" s="192"/>
      <c r="P912" s="192"/>
      <c r="Q912" s="192"/>
      <c r="R912" s="192"/>
      <c r="S912" s="192"/>
      <c r="T912" s="192"/>
      <c r="U912" s="192"/>
      <c r="V912" s="192"/>
      <c r="W912" s="192"/>
      <c r="X912" s="192"/>
      <c r="Y912" s="192"/>
      <c r="Z912" s="192"/>
      <c r="AA912" s="192"/>
      <c r="AB912" s="192"/>
      <c r="AC912" s="192"/>
      <c r="AD912" s="192"/>
      <c r="AE912" s="192"/>
      <c r="AF912" s="192"/>
      <c r="AG912" s="192"/>
      <c r="AH912" s="192"/>
      <c r="AI912" s="192"/>
      <c r="AJ912" s="192"/>
      <c r="AK912" s="192"/>
      <c r="AL912" s="192"/>
      <c r="AM912" s="192"/>
      <c r="AN912" s="192"/>
      <c r="AO912" s="192"/>
      <c r="AP912" s="192"/>
      <c r="AQ912" s="192"/>
      <c r="AR912" s="192"/>
      <c r="AS912" s="192"/>
      <c r="AT912" s="192"/>
      <c r="AU912" s="192"/>
      <c r="AV912" s="192"/>
    </row>
    <row r="913">
      <c r="A913" s="192"/>
      <c r="B913" s="192"/>
      <c r="C913" s="192"/>
      <c r="D913" s="192"/>
      <c r="E913" s="192"/>
      <c r="F913" s="192"/>
      <c r="G913" s="192"/>
      <c r="H913" s="192"/>
      <c r="I913" s="192"/>
      <c r="J913" s="192"/>
      <c r="K913" s="192"/>
      <c r="L913" s="192"/>
      <c r="M913" s="192"/>
      <c r="N913" s="192"/>
      <c r="O913" s="192"/>
      <c r="P913" s="192"/>
      <c r="Q913" s="192"/>
      <c r="R913" s="192"/>
      <c r="S913" s="192"/>
      <c r="T913" s="192"/>
      <c r="U913" s="192"/>
      <c r="V913" s="192"/>
      <c r="W913" s="192"/>
      <c r="X913" s="192"/>
      <c r="Y913" s="192"/>
      <c r="Z913" s="192"/>
      <c r="AA913" s="192"/>
      <c r="AB913" s="192"/>
      <c r="AC913" s="192"/>
      <c r="AD913" s="192"/>
      <c r="AE913" s="192"/>
      <c r="AF913" s="192"/>
      <c r="AG913" s="192"/>
      <c r="AH913" s="192"/>
      <c r="AI913" s="192"/>
      <c r="AJ913" s="192"/>
      <c r="AK913" s="192"/>
      <c r="AL913" s="192"/>
      <c r="AM913" s="192"/>
      <c r="AN913" s="192"/>
      <c r="AO913" s="192"/>
      <c r="AP913" s="192"/>
      <c r="AQ913" s="192"/>
      <c r="AR913" s="192"/>
      <c r="AS913" s="192"/>
      <c r="AT913" s="192"/>
      <c r="AU913" s="192"/>
      <c r="AV913" s="192"/>
    </row>
    <row r="914">
      <c r="A914" s="192"/>
      <c r="B914" s="192"/>
      <c r="C914" s="192"/>
      <c r="D914" s="192"/>
      <c r="E914" s="192"/>
      <c r="F914" s="192"/>
      <c r="G914" s="192"/>
      <c r="H914" s="192"/>
      <c r="I914" s="192"/>
      <c r="J914" s="192"/>
      <c r="K914" s="192"/>
      <c r="L914" s="192"/>
      <c r="M914" s="192"/>
      <c r="N914" s="192"/>
      <c r="O914" s="192"/>
      <c r="P914" s="192"/>
      <c r="Q914" s="192"/>
      <c r="R914" s="192"/>
      <c r="S914" s="192"/>
      <c r="T914" s="192"/>
      <c r="U914" s="192"/>
      <c r="V914" s="192"/>
      <c r="W914" s="192"/>
      <c r="X914" s="192"/>
      <c r="Y914" s="192"/>
      <c r="Z914" s="192"/>
      <c r="AA914" s="192"/>
      <c r="AB914" s="192"/>
      <c r="AC914" s="192"/>
      <c r="AD914" s="192"/>
      <c r="AE914" s="192"/>
      <c r="AF914" s="192"/>
      <c r="AG914" s="192"/>
      <c r="AH914" s="192"/>
      <c r="AI914" s="192"/>
      <c r="AJ914" s="192"/>
      <c r="AK914" s="192"/>
      <c r="AL914" s="192"/>
      <c r="AM914" s="192"/>
      <c r="AN914" s="192"/>
      <c r="AO914" s="192"/>
      <c r="AP914" s="192"/>
      <c r="AQ914" s="192"/>
      <c r="AR914" s="192"/>
      <c r="AS914" s="192"/>
      <c r="AT914" s="192"/>
      <c r="AU914" s="192"/>
      <c r="AV914" s="192"/>
    </row>
    <row r="915">
      <c r="A915" s="192"/>
      <c r="B915" s="192"/>
      <c r="C915" s="192"/>
      <c r="D915" s="192"/>
      <c r="E915" s="192"/>
      <c r="F915" s="192"/>
      <c r="G915" s="192"/>
      <c r="H915" s="192"/>
      <c r="I915" s="192"/>
      <c r="J915" s="192"/>
      <c r="K915" s="192"/>
      <c r="L915" s="192"/>
      <c r="M915" s="192"/>
      <c r="N915" s="192"/>
      <c r="O915" s="192"/>
      <c r="P915" s="192"/>
      <c r="Q915" s="192"/>
      <c r="R915" s="192"/>
      <c r="S915" s="192"/>
      <c r="T915" s="192"/>
      <c r="U915" s="192"/>
      <c r="V915" s="192"/>
      <c r="W915" s="192"/>
      <c r="X915" s="192"/>
      <c r="Y915" s="192"/>
      <c r="Z915" s="192"/>
      <c r="AA915" s="192"/>
      <c r="AB915" s="192"/>
      <c r="AC915" s="192"/>
      <c r="AD915" s="192"/>
      <c r="AE915" s="192"/>
      <c r="AF915" s="192"/>
      <c r="AG915" s="192"/>
      <c r="AH915" s="192"/>
      <c r="AI915" s="192"/>
      <c r="AJ915" s="192"/>
      <c r="AK915" s="192"/>
      <c r="AL915" s="192"/>
      <c r="AM915" s="192"/>
      <c r="AN915" s="192"/>
      <c r="AO915" s="192"/>
      <c r="AP915" s="192"/>
      <c r="AQ915" s="192"/>
      <c r="AR915" s="192"/>
      <c r="AS915" s="192"/>
      <c r="AT915" s="192"/>
      <c r="AU915" s="192"/>
      <c r="AV915" s="192"/>
    </row>
    <row r="916">
      <c r="A916" s="192"/>
      <c r="B916" s="192"/>
      <c r="C916" s="192"/>
      <c r="D916" s="192"/>
      <c r="E916" s="192"/>
      <c r="F916" s="192"/>
      <c r="G916" s="192"/>
      <c r="H916" s="192"/>
      <c r="I916" s="192"/>
      <c r="J916" s="192"/>
      <c r="K916" s="192"/>
      <c r="L916" s="192"/>
      <c r="M916" s="192"/>
      <c r="N916" s="192"/>
      <c r="O916" s="192"/>
      <c r="P916" s="192"/>
      <c r="Q916" s="192"/>
      <c r="R916" s="192"/>
      <c r="S916" s="192"/>
      <c r="T916" s="192"/>
      <c r="U916" s="192"/>
      <c r="V916" s="192"/>
      <c r="W916" s="192"/>
      <c r="X916" s="192"/>
      <c r="Y916" s="192"/>
      <c r="Z916" s="192"/>
      <c r="AA916" s="192"/>
      <c r="AB916" s="192"/>
      <c r="AC916" s="192"/>
      <c r="AD916" s="192"/>
      <c r="AE916" s="192"/>
      <c r="AF916" s="192"/>
      <c r="AG916" s="192"/>
      <c r="AH916" s="192"/>
      <c r="AI916" s="192"/>
      <c r="AJ916" s="192"/>
      <c r="AK916" s="192"/>
      <c r="AL916" s="192"/>
      <c r="AM916" s="192"/>
      <c r="AN916" s="192"/>
      <c r="AO916" s="192"/>
      <c r="AP916" s="192"/>
      <c r="AQ916" s="192"/>
      <c r="AR916" s="192"/>
      <c r="AS916" s="192"/>
      <c r="AT916" s="192"/>
      <c r="AU916" s="192"/>
      <c r="AV916" s="192"/>
    </row>
    <row r="917">
      <c r="A917" s="192"/>
      <c r="B917" s="192"/>
      <c r="C917" s="192"/>
      <c r="D917" s="192"/>
      <c r="E917" s="192"/>
      <c r="F917" s="192"/>
      <c r="G917" s="192"/>
      <c r="H917" s="192"/>
      <c r="I917" s="192"/>
      <c r="J917" s="192"/>
      <c r="K917" s="192"/>
      <c r="L917" s="192"/>
      <c r="M917" s="192"/>
      <c r="N917" s="192"/>
      <c r="O917" s="192"/>
      <c r="P917" s="192"/>
      <c r="Q917" s="192"/>
      <c r="R917" s="192"/>
      <c r="S917" s="192"/>
      <c r="T917" s="192"/>
      <c r="U917" s="192"/>
      <c r="V917" s="192"/>
      <c r="W917" s="192"/>
      <c r="X917" s="192"/>
      <c r="Y917" s="192"/>
      <c r="Z917" s="192"/>
      <c r="AA917" s="192"/>
      <c r="AB917" s="192"/>
      <c r="AC917" s="192"/>
      <c r="AD917" s="192"/>
      <c r="AE917" s="192"/>
      <c r="AF917" s="192"/>
      <c r="AG917" s="192"/>
      <c r="AH917" s="192"/>
      <c r="AI917" s="192"/>
      <c r="AJ917" s="192"/>
      <c r="AK917" s="192"/>
      <c r="AL917" s="192"/>
      <c r="AM917" s="192"/>
      <c r="AN917" s="192"/>
      <c r="AO917" s="192"/>
      <c r="AP917" s="192"/>
      <c r="AQ917" s="192"/>
      <c r="AR917" s="192"/>
      <c r="AS917" s="192"/>
      <c r="AT917" s="192"/>
      <c r="AU917" s="192"/>
      <c r="AV917" s="192"/>
    </row>
    <row r="918">
      <c r="A918" s="192"/>
      <c r="B918" s="192"/>
      <c r="C918" s="192"/>
      <c r="D918" s="192"/>
      <c r="E918" s="192"/>
      <c r="F918" s="192"/>
      <c r="G918" s="192"/>
      <c r="H918" s="192"/>
      <c r="I918" s="192"/>
      <c r="J918" s="192"/>
      <c r="K918" s="192"/>
      <c r="L918" s="192"/>
      <c r="M918" s="192"/>
      <c r="N918" s="192"/>
      <c r="O918" s="192"/>
      <c r="P918" s="192"/>
      <c r="Q918" s="192"/>
      <c r="R918" s="192"/>
      <c r="S918" s="192"/>
      <c r="T918" s="192"/>
      <c r="U918" s="192"/>
      <c r="V918" s="192"/>
      <c r="W918" s="192"/>
      <c r="X918" s="192"/>
      <c r="Y918" s="192"/>
      <c r="Z918" s="192"/>
      <c r="AA918" s="192"/>
      <c r="AB918" s="192"/>
      <c r="AC918" s="192"/>
      <c r="AD918" s="192"/>
      <c r="AE918" s="192"/>
      <c r="AF918" s="192"/>
      <c r="AG918" s="192"/>
      <c r="AH918" s="192"/>
      <c r="AI918" s="192"/>
      <c r="AJ918" s="192"/>
      <c r="AK918" s="192"/>
      <c r="AL918" s="192"/>
      <c r="AM918" s="192"/>
      <c r="AN918" s="192"/>
      <c r="AO918" s="192"/>
      <c r="AP918" s="192"/>
      <c r="AQ918" s="192"/>
      <c r="AR918" s="192"/>
      <c r="AS918" s="192"/>
      <c r="AT918" s="192"/>
      <c r="AU918" s="192"/>
      <c r="AV918" s="192"/>
    </row>
    <row r="919">
      <c r="A919" s="192"/>
      <c r="B919" s="192"/>
      <c r="C919" s="192"/>
      <c r="D919" s="192"/>
      <c r="E919" s="192"/>
      <c r="F919" s="192"/>
      <c r="G919" s="192"/>
      <c r="H919" s="192"/>
      <c r="I919" s="192"/>
      <c r="J919" s="192"/>
      <c r="K919" s="192"/>
      <c r="L919" s="192"/>
      <c r="M919" s="192"/>
      <c r="N919" s="192"/>
      <c r="O919" s="192"/>
      <c r="P919" s="192"/>
      <c r="Q919" s="192"/>
      <c r="R919" s="192"/>
      <c r="S919" s="192"/>
      <c r="T919" s="192"/>
      <c r="U919" s="192"/>
      <c r="V919" s="192"/>
      <c r="W919" s="192"/>
      <c r="X919" s="192"/>
      <c r="Y919" s="192"/>
      <c r="Z919" s="192"/>
      <c r="AA919" s="192"/>
      <c r="AB919" s="192"/>
      <c r="AC919" s="192"/>
      <c r="AD919" s="192"/>
      <c r="AE919" s="192"/>
      <c r="AF919" s="192"/>
      <c r="AG919" s="192"/>
      <c r="AH919" s="192"/>
      <c r="AI919" s="192"/>
      <c r="AJ919" s="192"/>
      <c r="AK919" s="192"/>
      <c r="AL919" s="192"/>
      <c r="AM919" s="192"/>
      <c r="AN919" s="192"/>
      <c r="AO919" s="192"/>
      <c r="AP919" s="192"/>
      <c r="AQ919" s="192"/>
      <c r="AR919" s="192"/>
      <c r="AS919" s="192"/>
      <c r="AT919" s="192"/>
      <c r="AU919" s="192"/>
      <c r="AV919" s="192"/>
    </row>
    <row r="920">
      <c r="A920" s="192"/>
      <c r="B920" s="192"/>
      <c r="C920" s="192"/>
      <c r="D920" s="192"/>
      <c r="E920" s="192"/>
      <c r="F920" s="192"/>
      <c r="G920" s="192"/>
      <c r="H920" s="192"/>
      <c r="I920" s="192"/>
      <c r="J920" s="192"/>
      <c r="K920" s="192"/>
      <c r="L920" s="192"/>
      <c r="M920" s="192"/>
      <c r="N920" s="192"/>
      <c r="O920" s="192"/>
      <c r="P920" s="192"/>
      <c r="Q920" s="192"/>
      <c r="R920" s="192"/>
      <c r="S920" s="192"/>
      <c r="T920" s="192"/>
      <c r="U920" s="192"/>
      <c r="V920" s="192"/>
      <c r="W920" s="192"/>
      <c r="X920" s="192"/>
      <c r="Y920" s="192"/>
      <c r="Z920" s="192"/>
      <c r="AA920" s="192"/>
      <c r="AB920" s="192"/>
      <c r="AC920" s="192"/>
      <c r="AD920" s="192"/>
      <c r="AE920" s="192"/>
      <c r="AF920" s="192"/>
      <c r="AG920" s="192"/>
      <c r="AH920" s="192"/>
      <c r="AI920" s="192"/>
      <c r="AJ920" s="192"/>
      <c r="AK920" s="192"/>
      <c r="AL920" s="192"/>
      <c r="AM920" s="192"/>
      <c r="AN920" s="192"/>
      <c r="AO920" s="192"/>
      <c r="AP920" s="192"/>
      <c r="AQ920" s="192"/>
      <c r="AR920" s="192"/>
      <c r="AS920" s="192"/>
      <c r="AT920" s="192"/>
      <c r="AU920" s="192"/>
      <c r="AV920" s="192"/>
    </row>
    <row r="921">
      <c r="A921" s="192"/>
      <c r="B921" s="192"/>
      <c r="C921" s="192"/>
      <c r="D921" s="192"/>
      <c r="E921" s="192"/>
      <c r="F921" s="192"/>
      <c r="G921" s="192"/>
      <c r="H921" s="192"/>
      <c r="I921" s="192"/>
      <c r="J921" s="192"/>
      <c r="K921" s="192"/>
      <c r="L921" s="192"/>
      <c r="M921" s="192"/>
      <c r="N921" s="192"/>
      <c r="O921" s="192"/>
      <c r="P921" s="192"/>
      <c r="Q921" s="192"/>
      <c r="R921" s="192"/>
      <c r="S921" s="192"/>
      <c r="T921" s="192"/>
      <c r="U921" s="192"/>
      <c r="V921" s="192"/>
      <c r="W921" s="192"/>
      <c r="X921" s="192"/>
      <c r="Y921" s="192"/>
      <c r="Z921" s="192"/>
      <c r="AA921" s="192"/>
      <c r="AB921" s="192"/>
      <c r="AC921" s="192"/>
      <c r="AD921" s="192"/>
      <c r="AE921" s="192"/>
      <c r="AF921" s="192"/>
      <c r="AG921" s="192"/>
      <c r="AH921" s="192"/>
      <c r="AI921" s="192"/>
      <c r="AJ921" s="192"/>
      <c r="AK921" s="192"/>
      <c r="AL921" s="192"/>
      <c r="AM921" s="192"/>
      <c r="AN921" s="192"/>
      <c r="AO921" s="192"/>
      <c r="AP921" s="192"/>
      <c r="AQ921" s="192"/>
      <c r="AR921" s="192"/>
      <c r="AS921" s="192"/>
      <c r="AT921" s="192"/>
      <c r="AU921" s="192"/>
      <c r="AV921" s="192"/>
    </row>
    <row r="922">
      <c r="A922" s="192"/>
      <c r="B922" s="192"/>
      <c r="C922" s="192"/>
      <c r="D922" s="192"/>
      <c r="E922" s="192"/>
      <c r="F922" s="192"/>
      <c r="G922" s="192"/>
      <c r="H922" s="192"/>
      <c r="I922" s="192"/>
      <c r="J922" s="192"/>
      <c r="K922" s="192"/>
      <c r="L922" s="192"/>
      <c r="M922" s="192"/>
      <c r="N922" s="192"/>
      <c r="O922" s="192"/>
      <c r="P922" s="192"/>
      <c r="Q922" s="192"/>
      <c r="R922" s="192"/>
      <c r="S922" s="192"/>
      <c r="T922" s="192"/>
      <c r="U922" s="192"/>
      <c r="V922" s="192"/>
      <c r="W922" s="192"/>
      <c r="X922" s="192"/>
      <c r="Y922" s="192"/>
      <c r="Z922" s="192"/>
      <c r="AA922" s="192"/>
      <c r="AB922" s="192"/>
      <c r="AC922" s="192"/>
      <c r="AD922" s="192"/>
      <c r="AE922" s="192"/>
      <c r="AF922" s="192"/>
      <c r="AG922" s="192"/>
      <c r="AH922" s="192"/>
      <c r="AI922" s="192"/>
      <c r="AJ922" s="192"/>
      <c r="AK922" s="192"/>
      <c r="AL922" s="192"/>
      <c r="AM922" s="192"/>
      <c r="AN922" s="192"/>
      <c r="AO922" s="192"/>
      <c r="AP922" s="192"/>
      <c r="AQ922" s="192"/>
      <c r="AR922" s="192"/>
      <c r="AS922" s="192"/>
      <c r="AT922" s="192"/>
      <c r="AU922" s="192"/>
      <c r="AV922" s="192"/>
    </row>
    <row r="923">
      <c r="A923" s="192"/>
      <c r="B923" s="192"/>
      <c r="C923" s="192"/>
      <c r="D923" s="192"/>
      <c r="E923" s="192"/>
      <c r="F923" s="192"/>
      <c r="G923" s="192"/>
      <c r="H923" s="192"/>
      <c r="I923" s="192"/>
      <c r="J923" s="192"/>
      <c r="K923" s="192"/>
      <c r="L923" s="192"/>
      <c r="M923" s="192"/>
      <c r="N923" s="192"/>
      <c r="O923" s="192"/>
      <c r="P923" s="192"/>
      <c r="Q923" s="192"/>
      <c r="R923" s="192"/>
      <c r="S923" s="192"/>
      <c r="T923" s="192"/>
      <c r="U923" s="192"/>
      <c r="V923" s="192"/>
      <c r="W923" s="192"/>
      <c r="X923" s="192"/>
      <c r="Y923" s="192"/>
      <c r="Z923" s="192"/>
      <c r="AA923" s="192"/>
      <c r="AB923" s="192"/>
      <c r="AC923" s="192"/>
      <c r="AD923" s="192"/>
      <c r="AE923" s="192"/>
      <c r="AF923" s="192"/>
      <c r="AG923" s="192"/>
      <c r="AH923" s="192"/>
      <c r="AI923" s="192"/>
      <c r="AJ923" s="192"/>
      <c r="AK923" s="192"/>
      <c r="AL923" s="192"/>
      <c r="AM923" s="192"/>
      <c r="AN923" s="192"/>
      <c r="AO923" s="192"/>
      <c r="AP923" s="192"/>
      <c r="AQ923" s="192"/>
      <c r="AR923" s="192"/>
      <c r="AS923" s="192"/>
      <c r="AT923" s="192"/>
      <c r="AU923" s="192"/>
      <c r="AV923" s="192"/>
    </row>
    <row r="924">
      <c r="A924" s="192"/>
      <c r="B924" s="192"/>
      <c r="C924" s="192"/>
      <c r="D924" s="192"/>
      <c r="E924" s="192"/>
      <c r="F924" s="192"/>
      <c r="G924" s="192"/>
      <c r="H924" s="192"/>
      <c r="I924" s="192"/>
      <c r="J924" s="192"/>
      <c r="K924" s="192"/>
      <c r="L924" s="192"/>
      <c r="M924" s="192"/>
      <c r="N924" s="192"/>
      <c r="O924" s="192"/>
      <c r="P924" s="192"/>
      <c r="Q924" s="192"/>
      <c r="R924" s="192"/>
      <c r="S924" s="192"/>
      <c r="T924" s="192"/>
      <c r="U924" s="192"/>
      <c r="V924" s="192"/>
      <c r="W924" s="192"/>
      <c r="X924" s="192"/>
      <c r="Y924" s="192"/>
      <c r="Z924" s="192"/>
      <c r="AA924" s="192"/>
      <c r="AB924" s="192"/>
      <c r="AC924" s="192"/>
      <c r="AD924" s="192"/>
      <c r="AE924" s="192"/>
      <c r="AF924" s="192"/>
      <c r="AG924" s="192"/>
      <c r="AH924" s="192"/>
      <c r="AI924" s="192"/>
      <c r="AJ924" s="192"/>
      <c r="AK924" s="192"/>
      <c r="AL924" s="192"/>
      <c r="AM924" s="192"/>
      <c r="AN924" s="192"/>
      <c r="AO924" s="192"/>
      <c r="AP924" s="192"/>
      <c r="AQ924" s="192"/>
      <c r="AR924" s="192"/>
      <c r="AS924" s="192"/>
      <c r="AT924" s="192"/>
      <c r="AU924" s="192"/>
      <c r="AV924" s="192"/>
    </row>
    <row r="925">
      <c r="A925" s="192"/>
      <c r="B925" s="192"/>
      <c r="C925" s="192"/>
      <c r="D925" s="192"/>
      <c r="E925" s="192"/>
      <c r="F925" s="192"/>
      <c r="G925" s="192"/>
      <c r="H925" s="192"/>
      <c r="I925" s="192"/>
      <c r="J925" s="192"/>
      <c r="K925" s="192"/>
      <c r="L925" s="192"/>
      <c r="M925" s="192"/>
      <c r="N925" s="192"/>
      <c r="O925" s="192"/>
      <c r="P925" s="192"/>
      <c r="Q925" s="192"/>
      <c r="R925" s="192"/>
      <c r="S925" s="192"/>
      <c r="T925" s="192"/>
      <c r="U925" s="192"/>
      <c r="V925" s="192"/>
      <c r="W925" s="192"/>
      <c r="X925" s="192"/>
      <c r="Y925" s="192"/>
      <c r="Z925" s="192"/>
      <c r="AA925" s="192"/>
      <c r="AB925" s="192"/>
      <c r="AC925" s="192"/>
      <c r="AD925" s="192"/>
      <c r="AE925" s="192"/>
      <c r="AF925" s="192"/>
      <c r="AG925" s="192"/>
      <c r="AH925" s="192"/>
      <c r="AI925" s="192"/>
      <c r="AJ925" s="192"/>
      <c r="AK925" s="192"/>
      <c r="AL925" s="192"/>
      <c r="AM925" s="192"/>
      <c r="AN925" s="192"/>
      <c r="AO925" s="192"/>
      <c r="AP925" s="192"/>
      <c r="AQ925" s="192"/>
      <c r="AR925" s="192"/>
      <c r="AS925" s="192"/>
      <c r="AT925" s="192"/>
      <c r="AU925" s="192"/>
      <c r="AV925" s="192"/>
    </row>
    <row r="926">
      <c r="A926" s="192"/>
      <c r="B926" s="192"/>
      <c r="C926" s="192"/>
      <c r="D926" s="192"/>
      <c r="E926" s="192"/>
      <c r="F926" s="192"/>
      <c r="G926" s="192"/>
      <c r="H926" s="192"/>
      <c r="I926" s="192"/>
      <c r="J926" s="192"/>
      <c r="K926" s="192"/>
      <c r="L926" s="192"/>
      <c r="M926" s="192"/>
      <c r="N926" s="192"/>
      <c r="O926" s="192"/>
      <c r="P926" s="192"/>
      <c r="Q926" s="192"/>
      <c r="R926" s="192"/>
      <c r="S926" s="192"/>
      <c r="T926" s="192"/>
      <c r="U926" s="192"/>
      <c r="V926" s="192"/>
      <c r="W926" s="192"/>
      <c r="X926" s="192"/>
      <c r="Y926" s="192"/>
      <c r="Z926" s="192"/>
      <c r="AA926" s="192"/>
      <c r="AB926" s="192"/>
      <c r="AC926" s="192"/>
      <c r="AD926" s="192"/>
      <c r="AE926" s="192"/>
      <c r="AF926" s="192"/>
      <c r="AG926" s="192"/>
      <c r="AH926" s="192"/>
      <c r="AI926" s="192"/>
      <c r="AJ926" s="192"/>
      <c r="AK926" s="192"/>
      <c r="AL926" s="192"/>
      <c r="AM926" s="192"/>
      <c r="AN926" s="192"/>
      <c r="AO926" s="192"/>
      <c r="AP926" s="192"/>
      <c r="AQ926" s="192"/>
      <c r="AR926" s="192"/>
      <c r="AS926" s="192"/>
      <c r="AT926" s="192"/>
      <c r="AU926" s="192"/>
      <c r="AV926" s="192"/>
    </row>
    <row r="927">
      <c r="A927" s="192"/>
      <c r="B927" s="192"/>
      <c r="C927" s="192"/>
      <c r="D927" s="192"/>
      <c r="E927" s="192"/>
      <c r="F927" s="192"/>
      <c r="G927" s="192"/>
      <c r="H927" s="192"/>
      <c r="I927" s="192"/>
      <c r="J927" s="192"/>
      <c r="K927" s="192"/>
      <c r="L927" s="192"/>
      <c r="M927" s="192"/>
      <c r="N927" s="192"/>
      <c r="O927" s="192"/>
      <c r="P927" s="192"/>
      <c r="Q927" s="192"/>
      <c r="R927" s="192"/>
      <c r="S927" s="192"/>
      <c r="T927" s="192"/>
      <c r="U927" s="192"/>
      <c r="V927" s="192"/>
      <c r="W927" s="192"/>
      <c r="X927" s="192"/>
      <c r="Y927" s="192"/>
      <c r="Z927" s="192"/>
      <c r="AA927" s="192"/>
      <c r="AB927" s="192"/>
      <c r="AC927" s="192"/>
      <c r="AD927" s="192"/>
      <c r="AE927" s="192"/>
      <c r="AF927" s="192"/>
      <c r="AG927" s="192"/>
      <c r="AH927" s="192"/>
      <c r="AI927" s="192"/>
      <c r="AJ927" s="192"/>
      <c r="AK927" s="192"/>
      <c r="AL927" s="192"/>
      <c r="AM927" s="192"/>
      <c r="AN927" s="192"/>
      <c r="AO927" s="192"/>
      <c r="AP927" s="192"/>
      <c r="AQ927" s="192"/>
      <c r="AR927" s="192"/>
      <c r="AS927" s="192"/>
      <c r="AT927" s="192"/>
      <c r="AU927" s="192"/>
      <c r="AV927" s="192"/>
    </row>
    <row r="928">
      <c r="A928" s="192"/>
      <c r="B928" s="192"/>
      <c r="C928" s="192"/>
      <c r="D928" s="192"/>
      <c r="E928" s="192"/>
      <c r="F928" s="192"/>
      <c r="G928" s="192"/>
      <c r="H928" s="192"/>
      <c r="I928" s="192"/>
      <c r="J928" s="192"/>
      <c r="K928" s="192"/>
      <c r="L928" s="192"/>
      <c r="M928" s="192"/>
      <c r="N928" s="192"/>
      <c r="O928" s="192"/>
      <c r="P928" s="192"/>
      <c r="Q928" s="192"/>
      <c r="R928" s="192"/>
      <c r="S928" s="192"/>
      <c r="T928" s="192"/>
      <c r="U928" s="192"/>
      <c r="V928" s="192"/>
      <c r="W928" s="192"/>
      <c r="X928" s="192"/>
      <c r="Y928" s="192"/>
      <c r="Z928" s="192"/>
      <c r="AA928" s="192"/>
      <c r="AB928" s="192"/>
      <c r="AC928" s="192"/>
      <c r="AD928" s="192"/>
      <c r="AE928" s="192"/>
      <c r="AF928" s="192"/>
      <c r="AG928" s="192"/>
      <c r="AH928" s="192"/>
      <c r="AI928" s="192"/>
      <c r="AJ928" s="192"/>
      <c r="AK928" s="192"/>
      <c r="AL928" s="192"/>
      <c r="AM928" s="192"/>
      <c r="AN928" s="192"/>
      <c r="AO928" s="192"/>
      <c r="AP928" s="192"/>
      <c r="AQ928" s="192"/>
      <c r="AR928" s="192"/>
      <c r="AS928" s="192"/>
      <c r="AT928" s="192"/>
      <c r="AU928" s="192"/>
      <c r="AV928" s="192"/>
    </row>
    <row r="929">
      <c r="A929" s="192"/>
      <c r="B929" s="192"/>
      <c r="C929" s="192"/>
      <c r="D929" s="192"/>
      <c r="E929" s="192"/>
      <c r="F929" s="192"/>
      <c r="G929" s="192"/>
      <c r="H929" s="192"/>
      <c r="I929" s="192"/>
      <c r="J929" s="192"/>
      <c r="K929" s="192"/>
      <c r="L929" s="192"/>
      <c r="M929" s="192"/>
      <c r="N929" s="192"/>
      <c r="O929" s="192"/>
      <c r="P929" s="192"/>
      <c r="Q929" s="192"/>
      <c r="R929" s="192"/>
      <c r="S929" s="192"/>
      <c r="T929" s="192"/>
      <c r="U929" s="192"/>
      <c r="V929" s="192"/>
      <c r="W929" s="192"/>
      <c r="X929" s="192"/>
      <c r="Y929" s="192"/>
      <c r="Z929" s="192"/>
      <c r="AA929" s="192"/>
      <c r="AB929" s="192"/>
      <c r="AC929" s="192"/>
      <c r="AD929" s="192"/>
      <c r="AE929" s="192"/>
      <c r="AF929" s="192"/>
      <c r="AG929" s="192"/>
      <c r="AH929" s="192"/>
      <c r="AI929" s="192"/>
      <c r="AJ929" s="192"/>
      <c r="AK929" s="192"/>
      <c r="AL929" s="192"/>
      <c r="AM929" s="192"/>
      <c r="AN929" s="192"/>
      <c r="AO929" s="192"/>
      <c r="AP929" s="192"/>
      <c r="AQ929" s="192"/>
      <c r="AR929" s="192"/>
      <c r="AS929" s="192"/>
      <c r="AT929" s="192"/>
      <c r="AU929" s="192"/>
      <c r="AV929" s="192"/>
    </row>
    <row r="930">
      <c r="A930" s="192"/>
      <c r="B930" s="192"/>
      <c r="C930" s="192"/>
      <c r="D930" s="192"/>
      <c r="E930" s="192"/>
      <c r="F930" s="192"/>
      <c r="G930" s="192"/>
      <c r="H930" s="192"/>
      <c r="I930" s="192"/>
      <c r="J930" s="192"/>
      <c r="K930" s="192"/>
      <c r="L930" s="192"/>
      <c r="M930" s="192"/>
      <c r="N930" s="192"/>
      <c r="O930" s="192"/>
      <c r="P930" s="192"/>
      <c r="Q930" s="192"/>
      <c r="R930" s="192"/>
      <c r="S930" s="192"/>
      <c r="T930" s="192"/>
      <c r="U930" s="192"/>
      <c r="V930" s="192"/>
      <c r="W930" s="192"/>
      <c r="X930" s="192"/>
      <c r="Y930" s="192"/>
      <c r="Z930" s="192"/>
      <c r="AA930" s="192"/>
      <c r="AB930" s="192"/>
      <c r="AC930" s="192"/>
      <c r="AD930" s="192"/>
      <c r="AE930" s="192"/>
      <c r="AF930" s="192"/>
      <c r="AG930" s="192"/>
      <c r="AH930" s="192"/>
      <c r="AI930" s="192"/>
      <c r="AJ930" s="192"/>
      <c r="AK930" s="192"/>
      <c r="AL930" s="192"/>
      <c r="AM930" s="192"/>
      <c r="AN930" s="192"/>
      <c r="AO930" s="192"/>
      <c r="AP930" s="192"/>
      <c r="AQ930" s="192"/>
      <c r="AR930" s="192"/>
      <c r="AS930" s="192"/>
      <c r="AT930" s="192"/>
      <c r="AU930" s="192"/>
      <c r="AV930" s="192"/>
    </row>
    <row r="931">
      <c r="A931" s="192"/>
      <c r="B931" s="192"/>
      <c r="C931" s="192"/>
      <c r="D931" s="192"/>
      <c r="E931" s="192"/>
      <c r="F931" s="192"/>
      <c r="G931" s="192"/>
      <c r="H931" s="192"/>
      <c r="I931" s="192"/>
      <c r="J931" s="192"/>
      <c r="K931" s="192"/>
      <c r="L931" s="192"/>
      <c r="M931" s="192"/>
      <c r="N931" s="192"/>
      <c r="O931" s="192"/>
      <c r="P931" s="192"/>
      <c r="Q931" s="192"/>
      <c r="R931" s="192"/>
      <c r="S931" s="192"/>
      <c r="T931" s="192"/>
      <c r="U931" s="192"/>
      <c r="V931" s="192"/>
      <c r="W931" s="192"/>
      <c r="X931" s="192"/>
      <c r="Y931" s="192"/>
      <c r="Z931" s="192"/>
      <c r="AA931" s="192"/>
      <c r="AB931" s="192"/>
      <c r="AC931" s="192"/>
      <c r="AD931" s="192"/>
      <c r="AE931" s="192"/>
      <c r="AF931" s="192"/>
      <c r="AG931" s="192"/>
      <c r="AH931" s="192"/>
      <c r="AI931" s="192"/>
      <c r="AJ931" s="192"/>
      <c r="AK931" s="192"/>
      <c r="AL931" s="192"/>
      <c r="AM931" s="192"/>
      <c r="AN931" s="192"/>
      <c r="AO931" s="192"/>
      <c r="AP931" s="192"/>
      <c r="AQ931" s="192"/>
      <c r="AR931" s="192"/>
      <c r="AS931" s="192"/>
      <c r="AT931" s="192"/>
      <c r="AU931" s="192"/>
      <c r="AV931" s="192"/>
    </row>
    <row r="932">
      <c r="A932" s="192"/>
      <c r="B932" s="192"/>
      <c r="C932" s="192"/>
      <c r="D932" s="192"/>
      <c r="E932" s="192"/>
      <c r="F932" s="192"/>
      <c r="G932" s="192"/>
      <c r="H932" s="192"/>
      <c r="I932" s="192"/>
      <c r="J932" s="192"/>
      <c r="K932" s="192"/>
      <c r="L932" s="192"/>
      <c r="M932" s="192"/>
      <c r="N932" s="192"/>
      <c r="O932" s="192"/>
      <c r="P932" s="192"/>
      <c r="Q932" s="192"/>
      <c r="R932" s="192"/>
      <c r="S932" s="192"/>
      <c r="T932" s="192"/>
      <c r="U932" s="192"/>
      <c r="V932" s="192"/>
      <c r="W932" s="192"/>
      <c r="X932" s="192"/>
      <c r="Y932" s="192"/>
      <c r="Z932" s="192"/>
      <c r="AA932" s="192"/>
      <c r="AB932" s="192"/>
      <c r="AC932" s="192"/>
      <c r="AD932" s="192"/>
      <c r="AE932" s="192"/>
      <c r="AF932" s="192"/>
      <c r="AG932" s="192"/>
      <c r="AH932" s="192"/>
      <c r="AI932" s="192"/>
      <c r="AJ932" s="192"/>
      <c r="AK932" s="192"/>
      <c r="AL932" s="192"/>
      <c r="AM932" s="192"/>
      <c r="AN932" s="192"/>
      <c r="AO932" s="192"/>
      <c r="AP932" s="192"/>
      <c r="AQ932" s="192"/>
      <c r="AR932" s="192"/>
      <c r="AS932" s="192"/>
      <c r="AT932" s="192"/>
      <c r="AU932" s="192"/>
      <c r="AV932" s="192"/>
    </row>
    <row r="933">
      <c r="A933" s="192"/>
      <c r="B933" s="192"/>
      <c r="C933" s="192"/>
      <c r="D933" s="192"/>
      <c r="E933" s="192"/>
      <c r="F933" s="192"/>
      <c r="G933" s="192"/>
      <c r="H933" s="192"/>
      <c r="I933" s="192"/>
      <c r="J933" s="192"/>
      <c r="K933" s="192"/>
      <c r="L933" s="192"/>
      <c r="M933" s="192"/>
      <c r="N933" s="192"/>
      <c r="O933" s="192"/>
      <c r="P933" s="192"/>
      <c r="Q933" s="192"/>
      <c r="R933" s="192"/>
      <c r="S933" s="192"/>
      <c r="T933" s="192"/>
      <c r="U933" s="192"/>
      <c r="V933" s="192"/>
      <c r="W933" s="192"/>
      <c r="X933" s="192"/>
      <c r="Y933" s="192"/>
      <c r="Z933" s="192"/>
      <c r="AA933" s="192"/>
      <c r="AB933" s="192"/>
      <c r="AC933" s="192"/>
      <c r="AD933" s="192"/>
      <c r="AE933" s="192"/>
      <c r="AF933" s="192"/>
      <c r="AG933" s="192"/>
      <c r="AH933" s="192"/>
      <c r="AI933" s="192"/>
      <c r="AJ933" s="192"/>
      <c r="AK933" s="192"/>
      <c r="AL933" s="192"/>
      <c r="AM933" s="192"/>
      <c r="AN933" s="192"/>
      <c r="AO933" s="192"/>
      <c r="AP933" s="192"/>
      <c r="AQ933" s="192"/>
      <c r="AR933" s="192"/>
      <c r="AS933" s="192"/>
      <c r="AT933" s="192"/>
      <c r="AU933" s="192"/>
      <c r="AV933" s="192"/>
    </row>
    <row r="934">
      <c r="A934" s="192"/>
      <c r="B934" s="192"/>
      <c r="C934" s="192"/>
      <c r="D934" s="192"/>
      <c r="E934" s="192"/>
      <c r="F934" s="192"/>
      <c r="G934" s="192"/>
      <c r="H934" s="192"/>
      <c r="I934" s="192"/>
      <c r="J934" s="192"/>
      <c r="K934" s="192"/>
      <c r="L934" s="192"/>
      <c r="M934" s="192"/>
      <c r="N934" s="192"/>
      <c r="O934" s="192"/>
      <c r="P934" s="192"/>
      <c r="Q934" s="192"/>
      <c r="R934" s="192"/>
      <c r="S934" s="192"/>
      <c r="T934" s="192"/>
      <c r="U934" s="192"/>
      <c r="V934" s="192"/>
      <c r="W934" s="192"/>
      <c r="X934" s="192"/>
      <c r="Y934" s="192"/>
      <c r="Z934" s="192"/>
      <c r="AA934" s="192"/>
      <c r="AB934" s="192"/>
      <c r="AC934" s="192"/>
      <c r="AD934" s="192"/>
      <c r="AE934" s="192"/>
      <c r="AF934" s="192"/>
      <c r="AG934" s="192"/>
      <c r="AH934" s="192"/>
      <c r="AI934" s="192"/>
      <c r="AJ934" s="192"/>
      <c r="AK934" s="192"/>
      <c r="AL934" s="192"/>
      <c r="AM934" s="192"/>
      <c r="AN934" s="192"/>
      <c r="AO934" s="192"/>
      <c r="AP934" s="192"/>
      <c r="AQ934" s="192"/>
      <c r="AR934" s="192"/>
      <c r="AS934" s="192"/>
      <c r="AT934" s="192"/>
      <c r="AU934" s="192"/>
      <c r="AV934" s="192"/>
    </row>
    <row r="935">
      <c r="A935" s="192"/>
      <c r="B935" s="192"/>
      <c r="C935" s="192"/>
      <c r="D935" s="192"/>
      <c r="E935" s="192"/>
      <c r="F935" s="192"/>
      <c r="G935" s="192"/>
      <c r="H935" s="192"/>
      <c r="I935" s="192"/>
      <c r="J935" s="192"/>
      <c r="K935" s="192"/>
      <c r="L935" s="192"/>
      <c r="M935" s="192"/>
      <c r="N935" s="192"/>
      <c r="O935" s="192"/>
      <c r="P935" s="192"/>
      <c r="Q935" s="192"/>
      <c r="R935" s="192"/>
      <c r="S935" s="192"/>
      <c r="T935" s="192"/>
      <c r="U935" s="192"/>
      <c r="V935" s="192"/>
      <c r="W935" s="192"/>
      <c r="X935" s="192"/>
      <c r="Y935" s="192"/>
      <c r="Z935" s="192"/>
      <c r="AA935" s="192"/>
      <c r="AB935" s="192"/>
      <c r="AC935" s="192"/>
      <c r="AD935" s="192"/>
      <c r="AE935" s="192"/>
      <c r="AF935" s="192"/>
      <c r="AG935" s="192"/>
      <c r="AH935" s="192"/>
      <c r="AI935" s="192"/>
      <c r="AJ935" s="192"/>
      <c r="AK935" s="192"/>
      <c r="AL935" s="192"/>
      <c r="AM935" s="192"/>
      <c r="AN935" s="192"/>
      <c r="AO935" s="192"/>
      <c r="AP935" s="192"/>
      <c r="AQ935" s="192"/>
      <c r="AR935" s="192"/>
      <c r="AS935" s="192"/>
      <c r="AT935" s="192"/>
      <c r="AU935" s="192"/>
      <c r="AV935" s="192"/>
    </row>
    <row r="936">
      <c r="A936" s="192"/>
      <c r="B936" s="192"/>
      <c r="C936" s="192"/>
      <c r="D936" s="192"/>
      <c r="E936" s="192"/>
      <c r="F936" s="192"/>
      <c r="G936" s="192"/>
      <c r="H936" s="192"/>
      <c r="I936" s="192"/>
      <c r="J936" s="192"/>
      <c r="K936" s="192"/>
      <c r="L936" s="192"/>
      <c r="M936" s="192"/>
      <c r="N936" s="192"/>
      <c r="O936" s="192"/>
      <c r="P936" s="192"/>
      <c r="Q936" s="192"/>
      <c r="R936" s="192"/>
      <c r="S936" s="192"/>
      <c r="T936" s="192"/>
      <c r="U936" s="192"/>
      <c r="V936" s="192"/>
      <c r="W936" s="192"/>
      <c r="X936" s="192"/>
      <c r="Y936" s="192"/>
      <c r="Z936" s="192"/>
      <c r="AA936" s="192"/>
      <c r="AB936" s="192"/>
      <c r="AC936" s="192"/>
      <c r="AD936" s="192"/>
      <c r="AE936" s="192"/>
      <c r="AF936" s="192"/>
      <c r="AG936" s="192"/>
      <c r="AH936" s="192"/>
      <c r="AI936" s="192"/>
      <c r="AJ936" s="192"/>
      <c r="AK936" s="192"/>
      <c r="AL936" s="192"/>
      <c r="AM936" s="192"/>
      <c r="AN936" s="192"/>
      <c r="AO936" s="192"/>
      <c r="AP936" s="192"/>
      <c r="AQ936" s="192"/>
      <c r="AR936" s="192"/>
      <c r="AS936" s="192"/>
      <c r="AT936" s="192"/>
      <c r="AU936" s="192"/>
      <c r="AV936" s="192"/>
    </row>
    <row r="937">
      <c r="A937" s="192"/>
      <c r="B937" s="192"/>
      <c r="C937" s="192"/>
      <c r="D937" s="192"/>
      <c r="E937" s="192"/>
      <c r="F937" s="192"/>
      <c r="G937" s="192"/>
      <c r="H937" s="192"/>
      <c r="I937" s="192"/>
      <c r="J937" s="192"/>
      <c r="K937" s="192"/>
      <c r="L937" s="192"/>
      <c r="M937" s="192"/>
      <c r="N937" s="192"/>
      <c r="O937" s="192"/>
      <c r="P937" s="192"/>
      <c r="Q937" s="192"/>
      <c r="R937" s="192"/>
      <c r="S937" s="192"/>
      <c r="T937" s="192"/>
      <c r="U937" s="192"/>
      <c r="V937" s="192"/>
      <c r="W937" s="192"/>
      <c r="X937" s="192"/>
      <c r="Y937" s="192"/>
      <c r="Z937" s="192"/>
      <c r="AA937" s="192"/>
      <c r="AB937" s="192"/>
      <c r="AC937" s="192"/>
      <c r="AD937" s="192"/>
      <c r="AE937" s="192"/>
      <c r="AF937" s="192"/>
      <c r="AG937" s="192"/>
      <c r="AH937" s="192"/>
      <c r="AI937" s="192"/>
      <c r="AJ937" s="192"/>
      <c r="AK937" s="192"/>
      <c r="AL937" s="192"/>
      <c r="AM937" s="192"/>
      <c r="AN937" s="192"/>
      <c r="AO937" s="192"/>
      <c r="AP937" s="192"/>
      <c r="AQ937" s="192"/>
      <c r="AR937" s="192"/>
      <c r="AS937" s="192"/>
      <c r="AT937" s="192"/>
      <c r="AU937" s="192"/>
      <c r="AV937" s="192"/>
    </row>
    <row r="938">
      <c r="A938" s="192"/>
      <c r="B938" s="192"/>
      <c r="C938" s="192"/>
      <c r="D938" s="192"/>
      <c r="E938" s="192"/>
      <c r="F938" s="192"/>
      <c r="G938" s="192"/>
      <c r="H938" s="192"/>
      <c r="I938" s="192"/>
      <c r="J938" s="192"/>
      <c r="K938" s="192"/>
      <c r="L938" s="192"/>
      <c r="M938" s="192"/>
      <c r="N938" s="192"/>
      <c r="O938" s="192"/>
      <c r="P938" s="192"/>
      <c r="Q938" s="192"/>
      <c r="R938" s="192"/>
      <c r="S938" s="192"/>
      <c r="T938" s="192"/>
      <c r="U938" s="192"/>
      <c r="V938" s="192"/>
      <c r="W938" s="192"/>
      <c r="X938" s="192"/>
      <c r="Y938" s="192"/>
      <c r="Z938" s="192"/>
      <c r="AA938" s="192"/>
      <c r="AB938" s="192"/>
      <c r="AC938" s="192"/>
      <c r="AD938" s="192"/>
      <c r="AE938" s="192"/>
      <c r="AF938" s="192"/>
      <c r="AG938" s="192"/>
      <c r="AH938" s="192"/>
      <c r="AI938" s="192"/>
      <c r="AJ938" s="192"/>
      <c r="AK938" s="192"/>
      <c r="AL938" s="192"/>
      <c r="AM938" s="192"/>
      <c r="AN938" s="192"/>
      <c r="AO938" s="192"/>
      <c r="AP938" s="192"/>
      <c r="AQ938" s="192"/>
      <c r="AR938" s="192"/>
      <c r="AS938" s="192"/>
      <c r="AT938" s="192"/>
      <c r="AU938" s="192"/>
      <c r="AV938" s="192"/>
    </row>
    <row r="939">
      <c r="A939" s="192"/>
      <c r="B939" s="192"/>
      <c r="C939" s="192"/>
      <c r="D939" s="192"/>
      <c r="E939" s="192"/>
      <c r="F939" s="192"/>
      <c r="G939" s="192"/>
      <c r="H939" s="192"/>
      <c r="I939" s="192"/>
      <c r="J939" s="192"/>
      <c r="K939" s="192"/>
      <c r="L939" s="192"/>
      <c r="M939" s="192"/>
      <c r="N939" s="192"/>
      <c r="O939" s="192"/>
      <c r="P939" s="192"/>
      <c r="Q939" s="192"/>
      <c r="R939" s="192"/>
      <c r="S939" s="192"/>
      <c r="T939" s="192"/>
      <c r="U939" s="192"/>
      <c r="V939" s="192"/>
      <c r="W939" s="192"/>
      <c r="X939" s="192"/>
      <c r="Y939" s="192"/>
      <c r="Z939" s="192"/>
      <c r="AA939" s="192"/>
      <c r="AB939" s="192"/>
      <c r="AC939" s="192"/>
      <c r="AD939" s="192"/>
      <c r="AE939" s="192"/>
      <c r="AF939" s="192"/>
      <c r="AG939" s="192"/>
      <c r="AH939" s="192"/>
      <c r="AI939" s="192"/>
      <c r="AJ939" s="192"/>
      <c r="AK939" s="192"/>
      <c r="AL939" s="192"/>
      <c r="AM939" s="192"/>
      <c r="AN939" s="192"/>
      <c r="AO939" s="192"/>
      <c r="AP939" s="192"/>
      <c r="AQ939" s="192"/>
      <c r="AR939" s="192"/>
      <c r="AS939" s="192"/>
      <c r="AT939" s="192"/>
      <c r="AU939" s="192"/>
      <c r="AV939" s="192"/>
    </row>
    <row r="940">
      <c r="A940" s="192"/>
      <c r="B940" s="192"/>
      <c r="C940" s="192"/>
      <c r="D940" s="192"/>
      <c r="E940" s="192"/>
      <c r="F940" s="192"/>
      <c r="G940" s="192"/>
      <c r="H940" s="192"/>
      <c r="I940" s="192"/>
      <c r="J940" s="192"/>
      <c r="K940" s="192"/>
      <c r="L940" s="192"/>
      <c r="M940" s="192"/>
      <c r="N940" s="192"/>
      <c r="O940" s="192"/>
      <c r="P940" s="192"/>
      <c r="Q940" s="192"/>
      <c r="R940" s="192"/>
      <c r="S940" s="192"/>
      <c r="T940" s="192"/>
      <c r="U940" s="192"/>
      <c r="V940" s="192"/>
      <c r="W940" s="192"/>
      <c r="X940" s="192"/>
      <c r="Y940" s="192"/>
      <c r="Z940" s="192"/>
      <c r="AA940" s="192"/>
      <c r="AB940" s="192"/>
      <c r="AC940" s="192"/>
      <c r="AD940" s="192"/>
      <c r="AE940" s="192"/>
      <c r="AF940" s="192"/>
      <c r="AG940" s="192"/>
      <c r="AH940" s="192"/>
      <c r="AI940" s="192"/>
      <c r="AJ940" s="192"/>
      <c r="AK940" s="192"/>
      <c r="AL940" s="192"/>
      <c r="AM940" s="192"/>
      <c r="AN940" s="192"/>
      <c r="AO940" s="192"/>
      <c r="AP940" s="192"/>
      <c r="AQ940" s="192"/>
      <c r="AR940" s="192"/>
      <c r="AS940" s="192"/>
      <c r="AT940" s="192"/>
      <c r="AU940" s="192"/>
      <c r="AV940" s="192"/>
    </row>
    <row r="941">
      <c r="A941" s="192"/>
      <c r="B941" s="192"/>
      <c r="C941" s="192"/>
      <c r="D941" s="192"/>
      <c r="E941" s="192"/>
      <c r="F941" s="192"/>
      <c r="G941" s="192"/>
      <c r="H941" s="192"/>
      <c r="I941" s="192"/>
      <c r="J941" s="192"/>
      <c r="K941" s="192"/>
      <c r="L941" s="192"/>
      <c r="M941" s="192"/>
      <c r="N941" s="192"/>
      <c r="O941" s="192"/>
      <c r="P941" s="192"/>
      <c r="Q941" s="192"/>
      <c r="R941" s="192"/>
      <c r="S941" s="192"/>
      <c r="T941" s="192"/>
      <c r="U941" s="192"/>
      <c r="V941" s="192"/>
      <c r="W941" s="192"/>
      <c r="X941" s="192"/>
      <c r="Y941" s="192"/>
      <c r="Z941" s="192"/>
      <c r="AA941" s="192"/>
      <c r="AB941" s="192"/>
      <c r="AC941" s="192"/>
      <c r="AD941" s="192"/>
      <c r="AE941" s="192"/>
      <c r="AF941" s="192"/>
      <c r="AG941" s="192"/>
      <c r="AH941" s="192"/>
      <c r="AI941" s="192"/>
      <c r="AJ941" s="192"/>
      <c r="AK941" s="192"/>
      <c r="AL941" s="192"/>
      <c r="AM941" s="192"/>
      <c r="AN941" s="192"/>
      <c r="AO941" s="192"/>
      <c r="AP941" s="192"/>
      <c r="AQ941" s="192"/>
      <c r="AR941" s="192"/>
      <c r="AS941" s="192"/>
      <c r="AT941" s="192"/>
      <c r="AU941" s="192"/>
      <c r="AV941" s="192"/>
    </row>
    <row r="942">
      <c r="A942" s="192"/>
      <c r="B942" s="192"/>
      <c r="C942" s="192"/>
      <c r="D942" s="192"/>
      <c r="E942" s="192"/>
      <c r="F942" s="192"/>
      <c r="G942" s="192"/>
      <c r="H942" s="192"/>
      <c r="I942" s="192"/>
      <c r="J942" s="192"/>
      <c r="K942" s="192"/>
      <c r="L942" s="192"/>
      <c r="M942" s="192"/>
      <c r="N942" s="192"/>
      <c r="O942" s="192"/>
      <c r="P942" s="192"/>
      <c r="Q942" s="192"/>
      <c r="R942" s="192"/>
      <c r="S942" s="192"/>
      <c r="T942" s="192"/>
      <c r="U942" s="192"/>
      <c r="V942" s="192"/>
      <c r="W942" s="192"/>
      <c r="X942" s="192"/>
      <c r="Y942" s="192"/>
      <c r="Z942" s="192"/>
      <c r="AA942" s="192"/>
      <c r="AB942" s="192"/>
      <c r="AC942" s="192"/>
      <c r="AD942" s="192"/>
      <c r="AE942" s="192"/>
      <c r="AF942" s="192"/>
      <c r="AG942" s="192"/>
      <c r="AH942" s="192"/>
      <c r="AI942" s="192"/>
      <c r="AJ942" s="192"/>
      <c r="AK942" s="192"/>
      <c r="AL942" s="192"/>
      <c r="AM942" s="192"/>
      <c r="AN942" s="192"/>
      <c r="AO942" s="192"/>
      <c r="AP942" s="192"/>
      <c r="AQ942" s="192"/>
      <c r="AR942" s="192"/>
      <c r="AS942" s="192"/>
      <c r="AT942" s="192"/>
      <c r="AU942" s="192"/>
      <c r="AV942" s="192"/>
    </row>
    <row r="943">
      <c r="A943" s="192"/>
      <c r="B943" s="192"/>
      <c r="C943" s="192"/>
      <c r="D943" s="192"/>
      <c r="E943" s="192"/>
      <c r="F943" s="192"/>
      <c r="G943" s="192"/>
      <c r="H943" s="192"/>
      <c r="I943" s="192"/>
      <c r="J943" s="192"/>
      <c r="K943" s="192"/>
      <c r="L943" s="192"/>
      <c r="M943" s="192"/>
      <c r="N943" s="192"/>
      <c r="O943" s="192"/>
      <c r="P943" s="192"/>
      <c r="Q943" s="192"/>
      <c r="R943" s="192"/>
      <c r="S943" s="192"/>
      <c r="T943" s="192"/>
      <c r="U943" s="192"/>
      <c r="V943" s="192"/>
      <c r="W943" s="192"/>
      <c r="X943" s="192"/>
      <c r="Y943" s="192"/>
      <c r="Z943" s="192"/>
      <c r="AA943" s="192"/>
      <c r="AB943" s="192"/>
      <c r="AC943" s="192"/>
      <c r="AD943" s="192"/>
      <c r="AE943" s="192"/>
      <c r="AF943" s="192"/>
      <c r="AG943" s="192"/>
      <c r="AH943" s="192"/>
      <c r="AI943" s="192"/>
      <c r="AJ943" s="192"/>
      <c r="AK943" s="192"/>
      <c r="AL943" s="192"/>
      <c r="AM943" s="192"/>
      <c r="AN943" s="192"/>
      <c r="AO943" s="192"/>
      <c r="AP943" s="192"/>
      <c r="AQ943" s="192"/>
      <c r="AR943" s="192"/>
      <c r="AS943" s="192"/>
      <c r="AT943" s="192"/>
      <c r="AU943" s="192"/>
      <c r="AV943" s="192"/>
    </row>
    <row r="944">
      <c r="A944" s="192"/>
      <c r="B944" s="192"/>
      <c r="C944" s="192"/>
      <c r="D944" s="192"/>
      <c r="E944" s="192"/>
      <c r="F944" s="192"/>
      <c r="G944" s="192"/>
      <c r="H944" s="192"/>
      <c r="I944" s="192"/>
      <c r="J944" s="192"/>
      <c r="K944" s="192"/>
      <c r="L944" s="192"/>
      <c r="M944" s="192"/>
      <c r="N944" s="192"/>
      <c r="O944" s="192"/>
      <c r="P944" s="192"/>
      <c r="Q944" s="192"/>
      <c r="R944" s="192"/>
      <c r="S944" s="192"/>
      <c r="T944" s="192"/>
      <c r="U944" s="192"/>
      <c r="V944" s="192"/>
      <c r="W944" s="192"/>
      <c r="X944" s="192"/>
      <c r="Y944" s="192"/>
      <c r="Z944" s="192"/>
      <c r="AA944" s="192"/>
      <c r="AB944" s="192"/>
      <c r="AC944" s="192"/>
      <c r="AD944" s="192"/>
      <c r="AE944" s="192"/>
      <c r="AF944" s="192"/>
      <c r="AG944" s="192"/>
      <c r="AH944" s="192"/>
      <c r="AI944" s="192"/>
      <c r="AJ944" s="192"/>
      <c r="AK944" s="192"/>
      <c r="AL944" s="192"/>
      <c r="AM944" s="192"/>
      <c r="AN944" s="192"/>
      <c r="AO944" s="192"/>
      <c r="AP944" s="192"/>
      <c r="AQ944" s="192"/>
      <c r="AR944" s="192"/>
      <c r="AS944" s="192"/>
      <c r="AT944" s="192"/>
      <c r="AU944" s="192"/>
      <c r="AV944" s="192"/>
    </row>
    <row r="945">
      <c r="A945" s="192"/>
      <c r="B945" s="192"/>
      <c r="C945" s="192"/>
      <c r="D945" s="192"/>
      <c r="E945" s="192"/>
      <c r="F945" s="192"/>
      <c r="G945" s="192"/>
      <c r="H945" s="192"/>
      <c r="I945" s="192"/>
      <c r="J945" s="192"/>
      <c r="K945" s="192"/>
      <c r="L945" s="192"/>
      <c r="M945" s="192"/>
      <c r="N945" s="192"/>
      <c r="O945" s="192"/>
      <c r="P945" s="192"/>
      <c r="Q945" s="192"/>
      <c r="R945" s="192"/>
      <c r="S945" s="192"/>
      <c r="T945" s="192"/>
      <c r="U945" s="192"/>
      <c r="V945" s="192"/>
      <c r="W945" s="192"/>
      <c r="X945" s="192"/>
      <c r="Y945" s="192"/>
      <c r="Z945" s="192"/>
      <c r="AA945" s="192"/>
      <c r="AB945" s="192"/>
      <c r="AC945" s="192"/>
      <c r="AD945" s="192"/>
      <c r="AE945" s="192"/>
      <c r="AF945" s="192"/>
      <c r="AG945" s="192"/>
      <c r="AH945" s="192"/>
      <c r="AI945" s="192"/>
      <c r="AJ945" s="192"/>
      <c r="AK945" s="192"/>
      <c r="AL945" s="192"/>
      <c r="AM945" s="192"/>
      <c r="AN945" s="192"/>
      <c r="AO945" s="192"/>
      <c r="AP945" s="192"/>
      <c r="AQ945" s="192"/>
      <c r="AR945" s="192"/>
      <c r="AS945" s="192"/>
      <c r="AT945" s="192"/>
      <c r="AU945" s="192"/>
      <c r="AV945" s="192"/>
    </row>
    <row r="946">
      <c r="A946" s="192"/>
      <c r="B946" s="192"/>
      <c r="C946" s="192"/>
      <c r="D946" s="192"/>
      <c r="E946" s="192"/>
      <c r="F946" s="192"/>
      <c r="G946" s="192"/>
      <c r="H946" s="192"/>
      <c r="I946" s="192"/>
      <c r="J946" s="192"/>
      <c r="K946" s="192"/>
      <c r="L946" s="192"/>
      <c r="M946" s="192"/>
      <c r="N946" s="192"/>
      <c r="O946" s="192"/>
      <c r="P946" s="192"/>
      <c r="Q946" s="192"/>
      <c r="R946" s="192"/>
      <c r="S946" s="192"/>
      <c r="T946" s="192"/>
      <c r="U946" s="192"/>
      <c r="V946" s="192"/>
      <c r="W946" s="192"/>
      <c r="X946" s="192"/>
      <c r="Y946" s="192"/>
      <c r="Z946" s="192"/>
      <c r="AA946" s="192"/>
      <c r="AB946" s="192"/>
      <c r="AC946" s="192"/>
      <c r="AD946" s="192"/>
      <c r="AE946" s="192"/>
      <c r="AF946" s="192"/>
      <c r="AG946" s="192"/>
      <c r="AH946" s="192"/>
      <c r="AI946" s="192"/>
      <c r="AJ946" s="192"/>
      <c r="AK946" s="192"/>
      <c r="AL946" s="192"/>
      <c r="AM946" s="192"/>
      <c r="AN946" s="192"/>
      <c r="AO946" s="192"/>
      <c r="AP946" s="192"/>
      <c r="AQ946" s="192"/>
      <c r="AR946" s="192"/>
      <c r="AS946" s="192"/>
      <c r="AT946" s="192"/>
      <c r="AU946" s="192"/>
      <c r="AV946" s="192"/>
    </row>
    <row r="947">
      <c r="A947" s="192"/>
      <c r="B947" s="192"/>
      <c r="C947" s="192"/>
      <c r="D947" s="192"/>
      <c r="E947" s="192"/>
      <c r="F947" s="192"/>
      <c r="G947" s="192"/>
      <c r="H947" s="192"/>
      <c r="I947" s="192"/>
      <c r="J947" s="192"/>
      <c r="K947" s="192"/>
      <c r="L947" s="192"/>
      <c r="M947" s="192"/>
      <c r="N947" s="192"/>
      <c r="O947" s="192"/>
      <c r="P947" s="192"/>
      <c r="Q947" s="192"/>
      <c r="R947" s="192"/>
      <c r="S947" s="192"/>
      <c r="T947" s="192"/>
      <c r="U947" s="192"/>
      <c r="V947" s="192"/>
      <c r="W947" s="192"/>
      <c r="X947" s="192"/>
      <c r="Y947" s="192"/>
      <c r="Z947" s="192"/>
      <c r="AA947" s="192"/>
      <c r="AB947" s="192"/>
      <c r="AC947" s="192"/>
      <c r="AD947" s="192"/>
      <c r="AE947" s="192"/>
      <c r="AF947" s="192"/>
      <c r="AG947" s="192"/>
      <c r="AH947" s="192"/>
      <c r="AI947" s="192"/>
      <c r="AJ947" s="192"/>
      <c r="AK947" s="192"/>
      <c r="AL947" s="192"/>
      <c r="AM947" s="192"/>
      <c r="AN947" s="192"/>
      <c r="AO947" s="192"/>
      <c r="AP947" s="192"/>
      <c r="AQ947" s="192"/>
      <c r="AR947" s="192"/>
      <c r="AS947" s="192"/>
      <c r="AT947" s="192"/>
      <c r="AU947" s="192"/>
      <c r="AV947" s="192"/>
    </row>
    <row r="948">
      <c r="A948" s="192"/>
      <c r="B948" s="192"/>
      <c r="C948" s="192"/>
      <c r="D948" s="192"/>
      <c r="E948" s="192"/>
      <c r="F948" s="192"/>
      <c r="G948" s="192"/>
      <c r="H948" s="192"/>
      <c r="I948" s="192"/>
      <c r="J948" s="192"/>
      <c r="K948" s="192"/>
      <c r="L948" s="192"/>
      <c r="M948" s="192"/>
      <c r="N948" s="192"/>
      <c r="O948" s="192"/>
      <c r="P948" s="192"/>
      <c r="Q948" s="192"/>
      <c r="R948" s="192"/>
      <c r="S948" s="192"/>
      <c r="T948" s="192"/>
      <c r="U948" s="192"/>
      <c r="V948" s="192"/>
      <c r="W948" s="192"/>
      <c r="X948" s="192"/>
      <c r="Y948" s="192"/>
      <c r="Z948" s="192"/>
      <c r="AA948" s="192"/>
      <c r="AB948" s="192"/>
      <c r="AC948" s="192"/>
      <c r="AD948" s="192"/>
      <c r="AE948" s="192"/>
      <c r="AF948" s="192"/>
      <c r="AG948" s="192"/>
      <c r="AH948" s="192"/>
      <c r="AI948" s="192"/>
      <c r="AJ948" s="192"/>
      <c r="AK948" s="192"/>
      <c r="AL948" s="192"/>
      <c r="AM948" s="192"/>
      <c r="AN948" s="192"/>
      <c r="AO948" s="192"/>
      <c r="AP948" s="192"/>
      <c r="AQ948" s="192"/>
      <c r="AR948" s="192"/>
      <c r="AS948" s="192"/>
      <c r="AT948" s="192"/>
      <c r="AU948" s="192"/>
      <c r="AV948" s="192"/>
    </row>
    <row r="949">
      <c r="A949" s="192"/>
      <c r="B949" s="192"/>
      <c r="C949" s="192"/>
      <c r="D949" s="192"/>
      <c r="E949" s="192"/>
      <c r="F949" s="192"/>
      <c r="G949" s="192"/>
      <c r="H949" s="192"/>
      <c r="I949" s="192"/>
      <c r="J949" s="192"/>
      <c r="K949" s="192"/>
      <c r="L949" s="192"/>
      <c r="M949" s="192"/>
      <c r="N949" s="192"/>
      <c r="O949" s="192"/>
      <c r="P949" s="192"/>
      <c r="Q949" s="192"/>
      <c r="R949" s="192"/>
      <c r="S949" s="192"/>
      <c r="T949" s="192"/>
      <c r="U949" s="192"/>
      <c r="V949" s="192"/>
      <c r="W949" s="192"/>
      <c r="X949" s="192"/>
      <c r="Y949" s="192"/>
      <c r="Z949" s="192"/>
      <c r="AA949" s="192"/>
      <c r="AB949" s="192"/>
      <c r="AC949" s="192"/>
      <c r="AD949" s="192"/>
      <c r="AE949" s="192"/>
      <c r="AF949" s="192"/>
      <c r="AG949" s="192"/>
      <c r="AH949" s="192"/>
      <c r="AI949" s="192"/>
      <c r="AJ949" s="192"/>
      <c r="AK949" s="192"/>
      <c r="AL949" s="192"/>
      <c r="AM949" s="192"/>
      <c r="AN949" s="192"/>
      <c r="AO949" s="192"/>
      <c r="AP949" s="192"/>
      <c r="AQ949" s="192"/>
      <c r="AR949" s="192"/>
      <c r="AS949" s="192"/>
      <c r="AT949" s="192"/>
      <c r="AU949" s="192"/>
      <c r="AV949" s="192"/>
    </row>
    <row r="950">
      <c r="A950" s="192"/>
      <c r="B950" s="192"/>
      <c r="C950" s="192"/>
      <c r="D950" s="192"/>
      <c r="E950" s="192"/>
      <c r="F950" s="192"/>
      <c r="G950" s="192"/>
      <c r="H950" s="192"/>
      <c r="I950" s="192"/>
      <c r="J950" s="192"/>
      <c r="K950" s="192"/>
      <c r="L950" s="192"/>
      <c r="M950" s="192"/>
      <c r="N950" s="192"/>
      <c r="O950" s="192"/>
      <c r="P950" s="192"/>
      <c r="Q950" s="192"/>
      <c r="R950" s="192"/>
      <c r="S950" s="192"/>
      <c r="T950" s="192"/>
      <c r="U950" s="192"/>
      <c r="V950" s="192"/>
      <c r="W950" s="192"/>
      <c r="X950" s="192"/>
      <c r="Y950" s="192"/>
      <c r="Z950" s="192"/>
      <c r="AA950" s="192"/>
      <c r="AB950" s="192"/>
      <c r="AC950" s="192"/>
      <c r="AD950" s="192"/>
      <c r="AE950" s="192"/>
      <c r="AF950" s="192"/>
      <c r="AG950" s="192"/>
      <c r="AH950" s="192"/>
      <c r="AI950" s="192"/>
      <c r="AJ950" s="192"/>
      <c r="AK950" s="192"/>
      <c r="AL950" s="192"/>
      <c r="AM950" s="192"/>
      <c r="AN950" s="192"/>
      <c r="AO950" s="192"/>
      <c r="AP950" s="192"/>
      <c r="AQ950" s="192"/>
      <c r="AR950" s="192"/>
      <c r="AS950" s="192"/>
      <c r="AT950" s="192"/>
      <c r="AU950" s="192"/>
      <c r="AV950" s="192"/>
    </row>
    <row r="951">
      <c r="A951" s="192"/>
      <c r="B951" s="192"/>
      <c r="C951" s="192"/>
      <c r="D951" s="192"/>
      <c r="E951" s="192"/>
      <c r="F951" s="192"/>
      <c r="G951" s="192"/>
      <c r="H951" s="192"/>
      <c r="I951" s="192"/>
      <c r="J951" s="192"/>
      <c r="K951" s="192"/>
      <c r="L951" s="192"/>
      <c r="M951" s="192"/>
      <c r="N951" s="192"/>
      <c r="O951" s="192"/>
      <c r="P951" s="192"/>
      <c r="Q951" s="192"/>
      <c r="R951" s="192"/>
      <c r="S951" s="192"/>
      <c r="T951" s="192"/>
      <c r="U951" s="192"/>
      <c r="V951" s="192"/>
      <c r="W951" s="192"/>
      <c r="X951" s="192"/>
      <c r="Y951" s="192"/>
      <c r="Z951" s="192"/>
      <c r="AA951" s="192"/>
      <c r="AB951" s="192"/>
      <c r="AC951" s="192"/>
      <c r="AD951" s="192"/>
      <c r="AE951" s="192"/>
      <c r="AF951" s="192"/>
      <c r="AG951" s="192"/>
      <c r="AH951" s="192"/>
      <c r="AI951" s="192"/>
      <c r="AJ951" s="192"/>
      <c r="AK951" s="192"/>
      <c r="AL951" s="192"/>
      <c r="AM951" s="192"/>
      <c r="AN951" s="192"/>
      <c r="AO951" s="192"/>
      <c r="AP951" s="192"/>
      <c r="AQ951" s="192"/>
      <c r="AR951" s="192"/>
      <c r="AS951" s="192"/>
      <c r="AT951" s="192"/>
      <c r="AU951" s="192"/>
      <c r="AV951" s="192"/>
    </row>
    <row r="952">
      <c r="A952" s="192"/>
      <c r="B952" s="192"/>
      <c r="C952" s="192"/>
      <c r="D952" s="192"/>
      <c r="E952" s="192"/>
      <c r="F952" s="192"/>
      <c r="G952" s="192"/>
      <c r="H952" s="192"/>
      <c r="I952" s="192"/>
      <c r="J952" s="192"/>
      <c r="K952" s="192"/>
      <c r="L952" s="192"/>
      <c r="M952" s="192"/>
      <c r="N952" s="192"/>
      <c r="O952" s="192"/>
      <c r="P952" s="192"/>
      <c r="Q952" s="192"/>
      <c r="R952" s="192"/>
      <c r="S952" s="192"/>
      <c r="T952" s="192"/>
      <c r="U952" s="192"/>
      <c r="V952" s="192"/>
      <c r="W952" s="192"/>
      <c r="X952" s="192"/>
      <c r="Y952" s="192"/>
      <c r="Z952" s="192"/>
      <c r="AA952" s="192"/>
      <c r="AB952" s="192"/>
      <c r="AC952" s="192"/>
      <c r="AD952" s="192"/>
      <c r="AE952" s="192"/>
      <c r="AF952" s="192"/>
      <c r="AG952" s="192"/>
      <c r="AH952" s="192"/>
      <c r="AI952" s="192"/>
      <c r="AJ952" s="192"/>
      <c r="AK952" s="192"/>
      <c r="AL952" s="192"/>
      <c r="AM952" s="192"/>
      <c r="AN952" s="192"/>
      <c r="AO952" s="192"/>
      <c r="AP952" s="192"/>
      <c r="AQ952" s="192"/>
      <c r="AR952" s="192"/>
      <c r="AS952" s="192"/>
      <c r="AT952" s="192"/>
      <c r="AU952" s="192"/>
      <c r="AV952" s="192"/>
    </row>
    <row r="953">
      <c r="A953" s="192"/>
      <c r="B953" s="192"/>
      <c r="C953" s="192"/>
      <c r="D953" s="192"/>
      <c r="E953" s="192"/>
      <c r="F953" s="192"/>
      <c r="G953" s="192"/>
      <c r="H953" s="192"/>
      <c r="I953" s="192"/>
      <c r="J953" s="192"/>
      <c r="K953" s="192"/>
      <c r="L953" s="192"/>
      <c r="M953" s="192"/>
      <c r="N953" s="192"/>
      <c r="O953" s="192"/>
      <c r="P953" s="192"/>
      <c r="Q953" s="192"/>
      <c r="R953" s="192"/>
      <c r="S953" s="192"/>
      <c r="T953" s="192"/>
      <c r="U953" s="192"/>
      <c r="V953" s="192"/>
      <c r="W953" s="192"/>
      <c r="X953" s="192"/>
      <c r="Y953" s="192"/>
      <c r="Z953" s="192"/>
      <c r="AA953" s="192"/>
      <c r="AB953" s="192"/>
      <c r="AC953" s="192"/>
      <c r="AD953" s="192"/>
      <c r="AE953" s="192"/>
      <c r="AF953" s="192"/>
      <c r="AG953" s="192"/>
      <c r="AH953" s="192"/>
      <c r="AI953" s="192"/>
      <c r="AJ953" s="192"/>
      <c r="AK953" s="192"/>
      <c r="AL953" s="192"/>
      <c r="AM953" s="192"/>
      <c r="AN953" s="192"/>
      <c r="AO953" s="192"/>
      <c r="AP953" s="192"/>
      <c r="AQ953" s="192"/>
      <c r="AR953" s="192"/>
      <c r="AS953" s="192"/>
      <c r="AT953" s="192"/>
      <c r="AU953" s="192"/>
      <c r="AV953" s="192"/>
    </row>
    <row r="954">
      <c r="A954" s="192"/>
      <c r="B954" s="192"/>
      <c r="C954" s="192"/>
      <c r="D954" s="192"/>
      <c r="E954" s="192"/>
      <c r="F954" s="192"/>
      <c r="G954" s="192"/>
      <c r="H954" s="192"/>
      <c r="I954" s="192"/>
      <c r="J954" s="192"/>
      <c r="K954" s="192"/>
      <c r="L954" s="192"/>
      <c r="M954" s="192"/>
      <c r="N954" s="192"/>
      <c r="O954" s="192"/>
      <c r="P954" s="192"/>
      <c r="Q954" s="192"/>
      <c r="R954" s="192"/>
      <c r="S954" s="192"/>
      <c r="T954" s="192"/>
      <c r="U954" s="192"/>
      <c r="V954" s="192"/>
      <c r="W954" s="192"/>
      <c r="X954" s="192"/>
      <c r="Y954" s="192"/>
      <c r="Z954" s="192"/>
      <c r="AA954" s="192"/>
      <c r="AB954" s="192"/>
      <c r="AC954" s="192"/>
      <c r="AD954" s="192"/>
      <c r="AE954" s="192"/>
      <c r="AF954" s="192"/>
      <c r="AG954" s="192"/>
      <c r="AH954" s="192"/>
      <c r="AI954" s="192"/>
      <c r="AJ954" s="192"/>
      <c r="AK954" s="192"/>
      <c r="AL954" s="192"/>
      <c r="AM954" s="192"/>
      <c r="AN954" s="192"/>
      <c r="AO954" s="192"/>
      <c r="AP954" s="192"/>
      <c r="AQ954" s="192"/>
      <c r="AR954" s="192"/>
      <c r="AS954" s="192"/>
      <c r="AT954" s="192"/>
      <c r="AU954" s="192"/>
      <c r="AV954" s="192"/>
    </row>
    <row r="955">
      <c r="A955" s="192"/>
      <c r="B955" s="192"/>
      <c r="C955" s="192"/>
      <c r="D955" s="192"/>
      <c r="E955" s="192"/>
      <c r="F955" s="192"/>
      <c r="G955" s="192"/>
      <c r="H955" s="192"/>
      <c r="I955" s="192"/>
      <c r="J955" s="192"/>
      <c r="K955" s="192"/>
      <c r="L955" s="192"/>
      <c r="M955" s="192"/>
      <c r="N955" s="192"/>
      <c r="O955" s="192"/>
      <c r="P955" s="192"/>
      <c r="Q955" s="192"/>
      <c r="R955" s="192"/>
      <c r="S955" s="192"/>
      <c r="T955" s="192"/>
      <c r="U955" s="192"/>
      <c r="V955" s="192"/>
      <c r="W955" s="192"/>
      <c r="X955" s="192"/>
      <c r="Y955" s="192"/>
      <c r="Z955" s="192"/>
      <c r="AA955" s="192"/>
      <c r="AB955" s="192"/>
      <c r="AC955" s="192"/>
      <c r="AD955" s="192"/>
      <c r="AE955" s="192"/>
      <c r="AF955" s="192"/>
      <c r="AG955" s="192"/>
      <c r="AH955" s="192"/>
      <c r="AI955" s="192"/>
      <c r="AJ955" s="192"/>
      <c r="AK955" s="192"/>
      <c r="AL955" s="192"/>
      <c r="AM955" s="192"/>
      <c r="AN955" s="192"/>
      <c r="AO955" s="192"/>
      <c r="AP955" s="192"/>
      <c r="AQ955" s="192"/>
      <c r="AR955" s="192"/>
      <c r="AS955" s="192"/>
      <c r="AT955" s="192"/>
      <c r="AU955" s="192"/>
      <c r="AV955" s="192"/>
    </row>
    <row r="956">
      <c r="A956" s="192"/>
      <c r="B956" s="192"/>
      <c r="C956" s="192"/>
      <c r="D956" s="192"/>
      <c r="E956" s="192"/>
      <c r="F956" s="192"/>
      <c r="G956" s="192"/>
      <c r="H956" s="192"/>
      <c r="I956" s="192"/>
      <c r="J956" s="192"/>
      <c r="K956" s="192"/>
      <c r="L956" s="192"/>
      <c r="M956" s="192"/>
      <c r="N956" s="192"/>
      <c r="O956" s="192"/>
      <c r="P956" s="192"/>
      <c r="Q956" s="192"/>
      <c r="R956" s="192"/>
      <c r="S956" s="192"/>
      <c r="T956" s="192"/>
      <c r="U956" s="192"/>
      <c r="V956" s="192"/>
      <c r="W956" s="192"/>
      <c r="X956" s="192"/>
      <c r="Y956" s="192"/>
      <c r="Z956" s="192"/>
      <c r="AA956" s="192"/>
      <c r="AB956" s="192"/>
      <c r="AC956" s="192"/>
      <c r="AD956" s="192"/>
      <c r="AE956" s="192"/>
      <c r="AF956" s="192"/>
      <c r="AG956" s="192"/>
      <c r="AH956" s="192"/>
      <c r="AI956" s="192"/>
      <c r="AJ956" s="192"/>
      <c r="AK956" s="192"/>
      <c r="AL956" s="192"/>
      <c r="AM956" s="192"/>
      <c r="AN956" s="192"/>
      <c r="AO956" s="192"/>
      <c r="AP956" s="192"/>
      <c r="AQ956" s="192"/>
      <c r="AR956" s="192"/>
      <c r="AS956" s="192"/>
      <c r="AT956" s="192"/>
      <c r="AU956" s="192"/>
      <c r="AV956" s="192"/>
    </row>
    <row r="957">
      <c r="A957" s="192"/>
      <c r="B957" s="192"/>
      <c r="C957" s="192"/>
      <c r="D957" s="192"/>
      <c r="E957" s="192"/>
      <c r="F957" s="192"/>
      <c r="G957" s="192"/>
      <c r="H957" s="192"/>
      <c r="I957" s="192"/>
      <c r="J957" s="192"/>
      <c r="K957" s="192"/>
      <c r="L957" s="192"/>
      <c r="M957" s="192"/>
      <c r="N957" s="192"/>
      <c r="O957" s="192"/>
      <c r="P957" s="192"/>
      <c r="Q957" s="192"/>
      <c r="R957" s="192"/>
      <c r="S957" s="192"/>
      <c r="T957" s="192"/>
      <c r="U957" s="192"/>
      <c r="V957" s="192"/>
      <c r="W957" s="192"/>
      <c r="X957" s="192"/>
      <c r="Y957" s="192"/>
      <c r="Z957" s="192"/>
      <c r="AA957" s="192"/>
      <c r="AB957" s="192"/>
      <c r="AC957" s="192"/>
      <c r="AD957" s="192"/>
      <c r="AE957" s="192"/>
      <c r="AF957" s="192"/>
      <c r="AG957" s="192"/>
      <c r="AH957" s="192"/>
      <c r="AI957" s="192"/>
      <c r="AJ957" s="192"/>
      <c r="AK957" s="192"/>
      <c r="AL957" s="192"/>
      <c r="AM957" s="192"/>
      <c r="AN957" s="192"/>
      <c r="AO957" s="192"/>
      <c r="AP957" s="192"/>
      <c r="AQ957" s="192"/>
      <c r="AR957" s="192"/>
      <c r="AS957" s="192"/>
      <c r="AT957" s="192"/>
      <c r="AU957" s="192"/>
      <c r="AV957" s="192"/>
    </row>
    <row r="958">
      <c r="A958" s="192"/>
      <c r="B958" s="192"/>
      <c r="C958" s="192"/>
      <c r="D958" s="192"/>
      <c r="E958" s="192"/>
      <c r="F958" s="192"/>
      <c r="G958" s="192"/>
      <c r="H958" s="192"/>
      <c r="I958" s="192"/>
      <c r="J958" s="192"/>
      <c r="K958" s="192"/>
      <c r="L958" s="192"/>
      <c r="M958" s="192"/>
      <c r="N958" s="192"/>
      <c r="O958" s="192"/>
      <c r="P958" s="192"/>
      <c r="Q958" s="192"/>
      <c r="R958" s="192"/>
      <c r="S958" s="192"/>
      <c r="T958" s="192"/>
      <c r="U958" s="192"/>
      <c r="V958" s="192"/>
      <c r="W958" s="192"/>
      <c r="X958" s="192"/>
      <c r="Y958" s="192"/>
      <c r="Z958" s="192"/>
      <c r="AA958" s="192"/>
      <c r="AB958" s="192"/>
      <c r="AC958" s="192"/>
      <c r="AD958" s="192"/>
      <c r="AE958" s="192"/>
      <c r="AF958" s="192"/>
      <c r="AG958" s="192"/>
      <c r="AH958" s="192"/>
      <c r="AI958" s="192"/>
      <c r="AJ958" s="192"/>
      <c r="AK958" s="192"/>
      <c r="AL958" s="192"/>
      <c r="AM958" s="192"/>
      <c r="AN958" s="192"/>
      <c r="AO958" s="192"/>
      <c r="AP958" s="192"/>
      <c r="AQ958" s="192"/>
      <c r="AR958" s="192"/>
      <c r="AS958" s="192"/>
      <c r="AT958" s="192"/>
      <c r="AU958" s="192"/>
      <c r="AV958" s="192"/>
    </row>
    <row r="959">
      <c r="A959" s="192"/>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92"/>
      <c r="Z959" s="192"/>
      <c r="AA959" s="192"/>
      <c r="AB959" s="192"/>
      <c r="AC959" s="192"/>
      <c r="AD959" s="192"/>
      <c r="AE959" s="192"/>
      <c r="AF959" s="192"/>
      <c r="AG959" s="192"/>
      <c r="AH959" s="192"/>
      <c r="AI959" s="192"/>
      <c r="AJ959" s="192"/>
      <c r="AK959" s="192"/>
      <c r="AL959" s="192"/>
      <c r="AM959" s="192"/>
      <c r="AN959" s="192"/>
      <c r="AO959" s="192"/>
      <c r="AP959" s="192"/>
      <c r="AQ959" s="192"/>
      <c r="AR959" s="192"/>
      <c r="AS959" s="192"/>
      <c r="AT959" s="192"/>
      <c r="AU959" s="192"/>
      <c r="AV959" s="192"/>
    </row>
    <row r="960">
      <c r="A960" s="192"/>
      <c r="B960" s="192"/>
      <c r="C960" s="192"/>
      <c r="D960" s="192"/>
      <c r="E960" s="192"/>
      <c r="F960" s="192"/>
      <c r="G960" s="192"/>
      <c r="H960" s="192"/>
      <c r="I960" s="192"/>
      <c r="J960" s="192"/>
      <c r="K960" s="192"/>
      <c r="L960" s="192"/>
      <c r="M960" s="192"/>
      <c r="N960" s="192"/>
      <c r="O960" s="192"/>
      <c r="P960" s="192"/>
      <c r="Q960" s="192"/>
      <c r="R960" s="192"/>
      <c r="S960" s="192"/>
      <c r="T960" s="192"/>
      <c r="U960" s="192"/>
      <c r="V960" s="192"/>
      <c r="W960" s="192"/>
      <c r="X960" s="192"/>
      <c r="Y960" s="192"/>
      <c r="Z960" s="192"/>
      <c r="AA960" s="192"/>
      <c r="AB960" s="192"/>
      <c r="AC960" s="192"/>
      <c r="AD960" s="192"/>
      <c r="AE960" s="192"/>
      <c r="AF960" s="192"/>
      <c r="AG960" s="192"/>
      <c r="AH960" s="192"/>
      <c r="AI960" s="192"/>
      <c r="AJ960" s="192"/>
      <c r="AK960" s="192"/>
      <c r="AL960" s="192"/>
      <c r="AM960" s="192"/>
      <c r="AN960" s="192"/>
      <c r="AO960" s="192"/>
      <c r="AP960" s="192"/>
      <c r="AQ960" s="192"/>
      <c r="AR960" s="192"/>
      <c r="AS960" s="192"/>
      <c r="AT960" s="192"/>
      <c r="AU960" s="192"/>
      <c r="AV960" s="192"/>
    </row>
    <row r="961">
      <c r="A961" s="192"/>
      <c r="B961" s="192"/>
      <c r="C961" s="192"/>
      <c r="D961" s="192"/>
      <c r="E961" s="192"/>
      <c r="F961" s="192"/>
      <c r="G961" s="192"/>
      <c r="H961" s="192"/>
      <c r="I961" s="192"/>
      <c r="J961" s="192"/>
      <c r="K961" s="192"/>
      <c r="L961" s="192"/>
      <c r="M961" s="192"/>
      <c r="N961" s="192"/>
      <c r="O961" s="192"/>
      <c r="P961" s="192"/>
      <c r="Q961" s="192"/>
      <c r="R961" s="192"/>
      <c r="S961" s="192"/>
      <c r="T961" s="192"/>
      <c r="U961" s="192"/>
      <c r="V961" s="192"/>
      <c r="W961" s="192"/>
      <c r="X961" s="192"/>
      <c r="Y961" s="192"/>
      <c r="Z961" s="192"/>
      <c r="AA961" s="192"/>
      <c r="AB961" s="192"/>
      <c r="AC961" s="192"/>
      <c r="AD961" s="192"/>
      <c r="AE961" s="192"/>
      <c r="AF961" s="192"/>
      <c r="AG961" s="192"/>
      <c r="AH961" s="192"/>
      <c r="AI961" s="192"/>
      <c r="AJ961" s="192"/>
      <c r="AK961" s="192"/>
      <c r="AL961" s="192"/>
      <c r="AM961" s="192"/>
      <c r="AN961" s="192"/>
      <c r="AO961" s="192"/>
      <c r="AP961" s="192"/>
      <c r="AQ961" s="192"/>
      <c r="AR961" s="192"/>
      <c r="AS961" s="192"/>
      <c r="AT961" s="192"/>
      <c r="AU961" s="192"/>
      <c r="AV961" s="192"/>
    </row>
    <row r="962">
      <c r="A962" s="192"/>
      <c r="B962" s="192"/>
      <c r="C962" s="192"/>
      <c r="D962" s="192"/>
      <c r="E962" s="192"/>
      <c r="F962" s="192"/>
      <c r="G962" s="192"/>
      <c r="H962" s="192"/>
      <c r="I962" s="192"/>
      <c r="J962" s="192"/>
      <c r="K962" s="192"/>
      <c r="L962" s="192"/>
      <c r="M962" s="192"/>
      <c r="N962" s="192"/>
      <c r="O962" s="192"/>
      <c r="P962" s="192"/>
      <c r="Q962" s="192"/>
      <c r="R962" s="192"/>
      <c r="S962" s="192"/>
      <c r="T962" s="192"/>
      <c r="U962" s="192"/>
      <c r="V962" s="192"/>
      <c r="W962" s="192"/>
      <c r="X962" s="192"/>
      <c r="Y962" s="192"/>
      <c r="Z962" s="192"/>
      <c r="AA962" s="192"/>
      <c r="AB962" s="192"/>
      <c r="AC962" s="192"/>
      <c r="AD962" s="192"/>
      <c r="AE962" s="192"/>
      <c r="AF962" s="192"/>
      <c r="AG962" s="192"/>
      <c r="AH962" s="192"/>
      <c r="AI962" s="192"/>
      <c r="AJ962" s="192"/>
      <c r="AK962" s="192"/>
      <c r="AL962" s="192"/>
      <c r="AM962" s="192"/>
      <c r="AN962" s="192"/>
      <c r="AO962" s="192"/>
      <c r="AP962" s="192"/>
      <c r="AQ962" s="192"/>
      <c r="AR962" s="192"/>
      <c r="AS962" s="192"/>
      <c r="AT962" s="192"/>
      <c r="AU962" s="192"/>
      <c r="AV962" s="192"/>
    </row>
    <row r="963">
      <c r="A963" s="192"/>
      <c r="B963" s="192"/>
      <c r="C963" s="192"/>
      <c r="D963" s="192"/>
      <c r="E963" s="192"/>
      <c r="F963" s="192"/>
      <c r="G963" s="192"/>
      <c r="H963" s="192"/>
      <c r="I963" s="192"/>
      <c r="J963" s="192"/>
      <c r="K963" s="192"/>
      <c r="L963" s="192"/>
      <c r="M963" s="192"/>
      <c r="N963" s="192"/>
      <c r="O963" s="192"/>
      <c r="P963" s="192"/>
      <c r="Q963" s="192"/>
      <c r="R963" s="192"/>
      <c r="S963" s="192"/>
      <c r="T963" s="192"/>
      <c r="U963" s="192"/>
      <c r="V963" s="192"/>
      <c r="W963" s="192"/>
      <c r="X963" s="192"/>
      <c r="Y963" s="192"/>
      <c r="Z963" s="192"/>
      <c r="AA963" s="192"/>
      <c r="AB963" s="192"/>
      <c r="AC963" s="192"/>
      <c r="AD963" s="192"/>
      <c r="AE963" s="192"/>
      <c r="AF963" s="192"/>
      <c r="AG963" s="192"/>
      <c r="AH963" s="192"/>
      <c r="AI963" s="192"/>
      <c r="AJ963" s="192"/>
      <c r="AK963" s="192"/>
      <c r="AL963" s="192"/>
      <c r="AM963" s="192"/>
      <c r="AN963" s="192"/>
      <c r="AO963" s="192"/>
      <c r="AP963" s="192"/>
      <c r="AQ963" s="192"/>
      <c r="AR963" s="192"/>
      <c r="AS963" s="192"/>
      <c r="AT963" s="192"/>
      <c r="AU963" s="192"/>
      <c r="AV963" s="192"/>
    </row>
    <row r="964">
      <c r="A964" s="192"/>
      <c r="B964" s="192"/>
      <c r="C964" s="192"/>
      <c r="D964" s="192"/>
      <c r="E964" s="192"/>
      <c r="F964" s="192"/>
      <c r="G964" s="192"/>
      <c r="H964" s="192"/>
      <c r="I964" s="192"/>
      <c r="J964" s="192"/>
      <c r="K964" s="192"/>
      <c r="L964" s="192"/>
      <c r="M964" s="192"/>
      <c r="N964" s="192"/>
      <c r="O964" s="192"/>
      <c r="P964" s="192"/>
      <c r="Q964" s="192"/>
      <c r="R964" s="192"/>
      <c r="S964" s="192"/>
      <c r="T964" s="192"/>
      <c r="U964" s="192"/>
      <c r="V964" s="192"/>
      <c r="W964" s="192"/>
      <c r="X964" s="192"/>
      <c r="Y964" s="192"/>
      <c r="Z964" s="192"/>
      <c r="AA964" s="192"/>
      <c r="AB964" s="192"/>
      <c r="AC964" s="192"/>
      <c r="AD964" s="192"/>
      <c r="AE964" s="192"/>
      <c r="AF964" s="192"/>
      <c r="AG964" s="192"/>
      <c r="AH964" s="192"/>
      <c r="AI964" s="192"/>
      <c r="AJ964" s="192"/>
      <c r="AK964" s="192"/>
      <c r="AL964" s="192"/>
      <c r="AM964" s="192"/>
      <c r="AN964" s="192"/>
      <c r="AO964" s="192"/>
      <c r="AP964" s="192"/>
      <c r="AQ964" s="192"/>
      <c r="AR964" s="192"/>
      <c r="AS964" s="192"/>
      <c r="AT964" s="192"/>
      <c r="AU964" s="192"/>
      <c r="AV964" s="192"/>
    </row>
    <row r="965">
      <c r="A965" s="192"/>
      <c r="B965" s="192"/>
      <c r="C965" s="192"/>
      <c r="D965" s="192"/>
      <c r="E965" s="192"/>
      <c r="F965" s="192"/>
      <c r="G965" s="192"/>
      <c r="H965" s="192"/>
      <c r="I965" s="192"/>
      <c r="J965" s="192"/>
      <c r="K965" s="192"/>
      <c r="L965" s="192"/>
      <c r="M965" s="192"/>
      <c r="N965" s="192"/>
      <c r="O965" s="192"/>
      <c r="P965" s="192"/>
      <c r="Q965" s="192"/>
      <c r="R965" s="192"/>
      <c r="S965" s="192"/>
      <c r="T965" s="192"/>
      <c r="U965" s="192"/>
      <c r="V965" s="192"/>
      <c r="W965" s="192"/>
      <c r="X965" s="192"/>
      <c r="Y965" s="192"/>
      <c r="Z965" s="192"/>
      <c r="AA965" s="192"/>
      <c r="AB965" s="192"/>
      <c r="AC965" s="192"/>
      <c r="AD965" s="192"/>
      <c r="AE965" s="192"/>
      <c r="AF965" s="192"/>
      <c r="AG965" s="192"/>
      <c r="AH965" s="192"/>
      <c r="AI965" s="192"/>
      <c r="AJ965" s="192"/>
      <c r="AK965" s="192"/>
      <c r="AL965" s="192"/>
      <c r="AM965" s="192"/>
      <c r="AN965" s="192"/>
      <c r="AO965" s="192"/>
      <c r="AP965" s="192"/>
      <c r="AQ965" s="192"/>
      <c r="AR965" s="192"/>
      <c r="AS965" s="192"/>
      <c r="AT965" s="192"/>
      <c r="AU965" s="192"/>
      <c r="AV965" s="192"/>
    </row>
    <row r="966">
      <c r="A966" s="192"/>
      <c r="B966" s="192"/>
      <c r="C966" s="192"/>
      <c r="D966" s="192"/>
      <c r="E966" s="192"/>
      <c r="F966" s="192"/>
      <c r="G966" s="192"/>
      <c r="H966" s="192"/>
      <c r="I966" s="192"/>
      <c r="J966" s="192"/>
      <c r="K966" s="192"/>
      <c r="L966" s="192"/>
      <c r="M966" s="192"/>
      <c r="N966" s="192"/>
      <c r="O966" s="192"/>
      <c r="P966" s="192"/>
      <c r="Q966" s="192"/>
      <c r="R966" s="192"/>
      <c r="S966" s="192"/>
      <c r="T966" s="192"/>
      <c r="U966" s="192"/>
      <c r="V966" s="192"/>
      <c r="W966" s="192"/>
      <c r="X966" s="192"/>
      <c r="Y966" s="192"/>
      <c r="Z966" s="192"/>
      <c r="AA966" s="192"/>
      <c r="AB966" s="192"/>
      <c r="AC966" s="192"/>
      <c r="AD966" s="192"/>
      <c r="AE966" s="192"/>
      <c r="AF966" s="192"/>
      <c r="AG966" s="192"/>
      <c r="AH966" s="192"/>
      <c r="AI966" s="192"/>
      <c r="AJ966" s="192"/>
      <c r="AK966" s="192"/>
      <c r="AL966" s="192"/>
      <c r="AM966" s="192"/>
      <c r="AN966" s="192"/>
      <c r="AO966" s="192"/>
      <c r="AP966" s="192"/>
      <c r="AQ966" s="192"/>
      <c r="AR966" s="192"/>
      <c r="AS966" s="192"/>
      <c r="AT966" s="192"/>
      <c r="AU966" s="192"/>
      <c r="AV966" s="192"/>
    </row>
    <row r="967">
      <c r="A967" s="192"/>
      <c r="B967" s="192"/>
      <c r="C967" s="192"/>
      <c r="D967" s="192"/>
      <c r="E967" s="192"/>
      <c r="F967" s="192"/>
      <c r="G967" s="192"/>
      <c r="H967" s="192"/>
      <c r="I967" s="192"/>
      <c r="J967" s="192"/>
      <c r="K967" s="192"/>
      <c r="L967" s="192"/>
      <c r="M967" s="192"/>
      <c r="N967" s="192"/>
      <c r="O967" s="192"/>
      <c r="P967" s="192"/>
      <c r="Q967" s="192"/>
      <c r="R967" s="192"/>
      <c r="S967" s="192"/>
      <c r="T967" s="192"/>
      <c r="U967" s="192"/>
      <c r="V967" s="192"/>
      <c r="W967" s="192"/>
      <c r="X967" s="192"/>
      <c r="Y967" s="192"/>
      <c r="Z967" s="192"/>
      <c r="AA967" s="192"/>
      <c r="AB967" s="192"/>
      <c r="AC967" s="192"/>
      <c r="AD967" s="192"/>
      <c r="AE967" s="192"/>
      <c r="AF967" s="192"/>
      <c r="AG967" s="192"/>
      <c r="AH967" s="192"/>
      <c r="AI967" s="192"/>
      <c r="AJ967" s="192"/>
      <c r="AK967" s="192"/>
      <c r="AL967" s="192"/>
      <c r="AM967" s="192"/>
      <c r="AN967" s="192"/>
      <c r="AO967" s="192"/>
      <c r="AP967" s="192"/>
      <c r="AQ967" s="192"/>
      <c r="AR967" s="192"/>
      <c r="AS967" s="192"/>
      <c r="AT967" s="192"/>
      <c r="AU967" s="192"/>
      <c r="AV967" s="192"/>
    </row>
    <row r="968">
      <c r="A968" s="192"/>
      <c r="B968" s="192"/>
      <c r="C968" s="192"/>
      <c r="D968" s="192"/>
      <c r="E968" s="192"/>
      <c r="F968" s="192"/>
      <c r="G968" s="192"/>
      <c r="H968" s="192"/>
      <c r="I968" s="192"/>
      <c r="J968" s="192"/>
      <c r="K968" s="192"/>
      <c r="L968" s="192"/>
      <c r="M968" s="192"/>
      <c r="N968" s="192"/>
      <c r="O968" s="192"/>
      <c r="P968" s="192"/>
      <c r="Q968" s="192"/>
      <c r="R968" s="192"/>
      <c r="S968" s="192"/>
      <c r="T968" s="192"/>
      <c r="U968" s="192"/>
      <c r="V968" s="192"/>
      <c r="W968" s="192"/>
      <c r="X968" s="192"/>
      <c r="Y968" s="192"/>
      <c r="Z968" s="192"/>
      <c r="AA968" s="192"/>
      <c r="AB968" s="192"/>
      <c r="AC968" s="192"/>
      <c r="AD968" s="192"/>
      <c r="AE968" s="192"/>
      <c r="AF968" s="192"/>
      <c r="AG968" s="192"/>
      <c r="AH968" s="192"/>
      <c r="AI968" s="192"/>
      <c r="AJ968" s="192"/>
      <c r="AK968" s="192"/>
      <c r="AL968" s="192"/>
      <c r="AM968" s="192"/>
      <c r="AN968" s="192"/>
      <c r="AO968" s="192"/>
      <c r="AP968" s="192"/>
      <c r="AQ968" s="192"/>
      <c r="AR968" s="192"/>
      <c r="AS968" s="192"/>
      <c r="AT968" s="192"/>
      <c r="AU968" s="192"/>
      <c r="AV968" s="192"/>
    </row>
    <row r="969">
      <c r="A969" s="192"/>
      <c r="B969" s="192"/>
      <c r="C969" s="192"/>
      <c r="D969" s="192"/>
      <c r="E969" s="192"/>
      <c r="F969" s="192"/>
      <c r="G969" s="192"/>
      <c r="H969" s="192"/>
      <c r="I969" s="192"/>
      <c r="J969" s="192"/>
      <c r="K969" s="192"/>
      <c r="L969" s="192"/>
      <c r="M969" s="192"/>
      <c r="N969" s="192"/>
      <c r="O969" s="192"/>
      <c r="P969" s="192"/>
      <c r="Q969" s="192"/>
      <c r="R969" s="192"/>
      <c r="S969" s="192"/>
      <c r="T969" s="192"/>
      <c r="U969" s="192"/>
      <c r="V969" s="192"/>
      <c r="W969" s="192"/>
      <c r="X969" s="192"/>
      <c r="Y969" s="192"/>
      <c r="Z969" s="192"/>
      <c r="AA969" s="192"/>
      <c r="AB969" s="192"/>
      <c r="AC969" s="192"/>
      <c r="AD969" s="192"/>
      <c r="AE969" s="192"/>
      <c r="AF969" s="192"/>
      <c r="AG969" s="192"/>
      <c r="AH969" s="192"/>
      <c r="AI969" s="192"/>
      <c r="AJ969" s="192"/>
      <c r="AK969" s="192"/>
      <c r="AL969" s="192"/>
      <c r="AM969" s="192"/>
      <c r="AN969" s="192"/>
      <c r="AO969" s="192"/>
      <c r="AP969" s="192"/>
      <c r="AQ969" s="192"/>
      <c r="AR969" s="192"/>
      <c r="AS969" s="192"/>
      <c r="AT969" s="192"/>
      <c r="AU969" s="192"/>
      <c r="AV969" s="192"/>
    </row>
    <row r="970">
      <c r="A970" s="192"/>
      <c r="B970" s="192"/>
      <c r="C970" s="192"/>
      <c r="D970" s="192"/>
      <c r="E970" s="192"/>
      <c r="F970" s="192"/>
      <c r="G970" s="192"/>
      <c r="H970" s="192"/>
      <c r="I970" s="192"/>
      <c r="J970" s="192"/>
      <c r="K970" s="192"/>
      <c r="L970" s="192"/>
      <c r="M970" s="192"/>
      <c r="N970" s="192"/>
      <c r="O970" s="192"/>
      <c r="P970" s="192"/>
      <c r="Q970" s="192"/>
      <c r="R970" s="192"/>
      <c r="S970" s="192"/>
      <c r="T970" s="192"/>
      <c r="U970" s="192"/>
      <c r="V970" s="192"/>
      <c r="W970" s="192"/>
      <c r="X970" s="192"/>
      <c r="Y970" s="192"/>
      <c r="Z970" s="192"/>
      <c r="AA970" s="192"/>
      <c r="AB970" s="192"/>
      <c r="AC970" s="192"/>
      <c r="AD970" s="192"/>
      <c r="AE970" s="192"/>
      <c r="AF970" s="192"/>
      <c r="AG970" s="192"/>
      <c r="AH970" s="192"/>
      <c r="AI970" s="192"/>
      <c r="AJ970" s="192"/>
      <c r="AK970" s="192"/>
      <c r="AL970" s="192"/>
      <c r="AM970" s="192"/>
      <c r="AN970" s="192"/>
      <c r="AO970" s="192"/>
      <c r="AP970" s="192"/>
      <c r="AQ970" s="192"/>
      <c r="AR970" s="192"/>
      <c r="AS970" s="192"/>
      <c r="AT970" s="192"/>
      <c r="AU970" s="192"/>
      <c r="AV970" s="192"/>
    </row>
    <row r="971">
      <c r="A971" s="192"/>
      <c r="B971" s="192"/>
      <c r="C971" s="192"/>
      <c r="D971" s="192"/>
      <c r="E971" s="192"/>
      <c r="F971" s="192"/>
      <c r="G971" s="192"/>
      <c r="H971" s="192"/>
      <c r="I971" s="192"/>
      <c r="J971" s="192"/>
      <c r="K971" s="192"/>
      <c r="L971" s="192"/>
      <c r="M971" s="192"/>
      <c r="N971" s="192"/>
      <c r="O971" s="192"/>
      <c r="P971" s="192"/>
      <c r="Q971" s="192"/>
      <c r="R971" s="192"/>
      <c r="S971" s="192"/>
      <c r="T971" s="192"/>
      <c r="U971" s="192"/>
      <c r="V971" s="192"/>
      <c r="W971" s="192"/>
      <c r="X971" s="192"/>
      <c r="Y971" s="192"/>
      <c r="Z971" s="192"/>
      <c r="AA971" s="192"/>
      <c r="AB971" s="192"/>
      <c r="AC971" s="192"/>
      <c r="AD971" s="192"/>
      <c r="AE971" s="192"/>
      <c r="AF971" s="192"/>
      <c r="AG971" s="192"/>
      <c r="AH971" s="192"/>
      <c r="AI971" s="192"/>
      <c r="AJ971" s="192"/>
      <c r="AK971" s="192"/>
      <c r="AL971" s="192"/>
      <c r="AM971" s="192"/>
      <c r="AN971" s="192"/>
      <c r="AO971" s="192"/>
      <c r="AP971" s="192"/>
      <c r="AQ971" s="192"/>
      <c r="AR971" s="192"/>
      <c r="AS971" s="192"/>
      <c r="AT971" s="192"/>
      <c r="AU971" s="192"/>
      <c r="AV971" s="192"/>
    </row>
    <row r="972">
      <c r="A972" s="192"/>
      <c r="B972" s="192"/>
      <c r="C972" s="192"/>
      <c r="D972" s="192"/>
      <c r="E972" s="192"/>
      <c r="F972" s="192"/>
      <c r="G972" s="192"/>
      <c r="H972" s="192"/>
      <c r="I972" s="192"/>
      <c r="J972" s="192"/>
      <c r="K972" s="192"/>
      <c r="L972" s="192"/>
      <c r="M972" s="192"/>
      <c r="N972" s="192"/>
      <c r="O972" s="192"/>
      <c r="P972" s="192"/>
      <c r="Q972" s="192"/>
      <c r="R972" s="192"/>
      <c r="S972" s="192"/>
      <c r="T972" s="192"/>
      <c r="U972" s="192"/>
      <c r="V972" s="192"/>
      <c r="W972" s="192"/>
      <c r="X972" s="192"/>
      <c r="Y972" s="192"/>
      <c r="Z972" s="192"/>
      <c r="AA972" s="192"/>
      <c r="AB972" s="192"/>
      <c r="AC972" s="192"/>
      <c r="AD972" s="192"/>
      <c r="AE972" s="192"/>
      <c r="AF972" s="192"/>
      <c r="AG972" s="192"/>
      <c r="AH972" s="192"/>
      <c r="AI972" s="192"/>
      <c r="AJ972" s="192"/>
      <c r="AK972" s="192"/>
      <c r="AL972" s="192"/>
      <c r="AM972" s="192"/>
      <c r="AN972" s="192"/>
      <c r="AO972" s="192"/>
      <c r="AP972" s="192"/>
      <c r="AQ972" s="192"/>
      <c r="AR972" s="192"/>
      <c r="AS972" s="192"/>
      <c r="AT972" s="192"/>
      <c r="AU972" s="192"/>
      <c r="AV972" s="192"/>
    </row>
    <row r="973">
      <c r="A973" s="192"/>
      <c r="B973" s="192"/>
      <c r="C973" s="192"/>
      <c r="D973" s="192"/>
      <c r="E973" s="192"/>
      <c r="F973" s="192"/>
      <c r="G973" s="192"/>
      <c r="H973" s="192"/>
      <c r="I973" s="192"/>
      <c r="J973" s="192"/>
      <c r="K973" s="192"/>
      <c r="L973" s="192"/>
      <c r="M973" s="192"/>
      <c r="N973" s="192"/>
      <c r="O973" s="192"/>
      <c r="P973" s="192"/>
      <c r="Q973" s="192"/>
      <c r="R973" s="192"/>
      <c r="S973" s="192"/>
      <c r="T973" s="192"/>
      <c r="U973" s="192"/>
      <c r="V973" s="192"/>
      <c r="W973" s="192"/>
      <c r="X973" s="192"/>
      <c r="Y973" s="192"/>
      <c r="Z973" s="192"/>
      <c r="AA973" s="192"/>
      <c r="AB973" s="192"/>
      <c r="AC973" s="192"/>
      <c r="AD973" s="192"/>
      <c r="AE973" s="192"/>
      <c r="AF973" s="192"/>
      <c r="AG973" s="192"/>
      <c r="AH973" s="192"/>
      <c r="AI973" s="192"/>
      <c r="AJ973" s="192"/>
      <c r="AK973" s="192"/>
      <c r="AL973" s="192"/>
      <c r="AM973" s="192"/>
      <c r="AN973" s="192"/>
      <c r="AO973" s="192"/>
      <c r="AP973" s="192"/>
      <c r="AQ973" s="192"/>
      <c r="AR973" s="192"/>
      <c r="AS973" s="192"/>
      <c r="AT973" s="192"/>
      <c r="AU973" s="192"/>
      <c r="AV973" s="192"/>
    </row>
    <row r="974">
      <c r="A974" s="192"/>
      <c r="B974" s="192"/>
      <c r="C974" s="192"/>
      <c r="D974" s="192"/>
      <c r="E974" s="192"/>
      <c r="F974" s="192"/>
      <c r="G974" s="192"/>
      <c r="H974" s="192"/>
      <c r="I974" s="192"/>
      <c r="J974" s="192"/>
      <c r="K974" s="192"/>
      <c r="L974" s="192"/>
      <c r="M974" s="192"/>
      <c r="N974" s="192"/>
      <c r="O974" s="192"/>
      <c r="P974" s="192"/>
      <c r="Q974" s="192"/>
      <c r="R974" s="192"/>
      <c r="S974" s="192"/>
      <c r="T974" s="192"/>
      <c r="U974" s="192"/>
      <c r="V974" s="192"/>
      <c r="W974" s="192"/>
      <c r="X974" s="192"/>
      <c r="Y974" s="192"/>
      <c r="Z974" s="192"/>
      <c r="AA974" s="192"/>
      <c r="AB974" s="192"/>
      <c r="AC974" s="192"/>
      <c r="AD974" s="192"/>
      <c r="AE974" s="192"/>
      <c r="AF974" s="192"/>
      <c r="AG974" s="192"/>
      <c r="AH974" s="192"/>
      <c r="AI974" s="192"/>
      <c r="AJ974" s="192"/>
      <c r="AK974" s="192"/>
      <c r="AL974" s="192"/>
      <c r="AM974" s="192"/>
      <c r="AN974" s="192"/>
      <c r="AO974" s="192"/>
      <c r="AP974" s="192"/>
      <c r="AQ974" s="192"/>
      <c r="AR974" s="192"/>
      <c r="AS974" s="192"/>
      <c r="AT974" s="192"/>
      <c r="AU974" s="192"/>
      <c r="AV974" s="192"/>
    </row>
    <row r="975">
      <c r="A975" s="192"/>
      <c r="B975" s="192"/>
      <c r="C975" s="192"/>
      <c r="D975" s="192"/>
      <c r="E975" s="192"/>
      <c r="F975" s="192"/>
      <c r="G975" s="192"/>
      <c r="H975" s="192"/>
      <c r="I975" s="192"/>
      <c r="J975" s="192"/>
      <c r="K975" s="192"/>
      <c r="L975" s="192"/>
      <c r="M975" s="192"/>
      <c r="N975" s="192"/>
      <c r="O975" s="192"/>
      <c r="P975" s="192"/>
      <c r="Q975" s="192"/>
      <c r="R975" s="192"/>
      <c r="S975" s="192"/>
      <c r="T975" s="192"/>
      <c r="U975" s="192"/>
      <c r="V975" s="192"/>
      <c r="W975" s="192"/>
      <c r="X975" s="192"/>
      <c r="Y975" s="192"/>
      <c r="Z975" s="192"/>
      <c r="AA975" s="192"/>
      <c r="AB975" s="192"/>
      <c r="AC975" s="192"/>
      <c r="AD975" s="192"/>
      <c r="AE975" s="192"/>
      <c r="AF975" s="192"/>
      <c r="AG975" s="192"/>
      <c r="AH975" s="192"/>
      <c r="AI975" s="192"/>
      <c r="AJ975" s="192"/>
      <c r="AK975" s="192"/>
      <c r="AL975" s="192"/>
      <c r="AM975" s="192"/>
      <c r="AN975" s="192"/>
      <c r="AO975" s="192"/>
      <c r="AP975" s="192"/>
      <c r="AQ975" s="192"/>
      <c r="AR975" s="192"/>
      <c r="AS975" s="192"/>
      <c r="AT975" s="192"/>
      <c r="AU975" s="192"/>
      <c r="AV975" s="192"/>
    </row>
    <row r="976">
      <c r="A976" s="192"/>
      <c r="B976" s="192"/>
      <c r="C976" s="192"/>
      <c r="D976" s="192"/>
      <c r="E976" s="192"/>
      <c r="F976" s="192"/>
      <c r="G976" s="192"/>
      <c r="H976" s="192"/>
      <c r="I976" s="192"/>
      <c r="J976" s="192"/>
      <c r="K976" s="192"/>
      <c r="L976" s="192"/>
      <c r="M976" s="192"/>
      <c r="N976" s="192"/>
      <c r="O976" s="192"/>
      <c r="P976" s="192"/>
      <c r="Q976" s="192"/>
      <c r="R976" s="192"/>
      <c r="S976" s="192"/>
      <c r="T976" s="192"/>
      <c r="U976" s="192"/>
      <c r="V976" s="192"/>
      <c r="W976" s="192"/>
      <c r="X976" s="192"/>
      <c r="Y976" s="192"/>
      <c r="Z976" s="192"/>
      <c r="AA976" s="192"/>
      <c r="AB976" s="192"/>
      <c r="AC976" s="192"/>
      <c r="AD976" s="192"/>
      <c r="AE976" s="192"/>
      <c r="AF976" s="192"/>
      <c r="AG976" s="192"/>
      <c r="AH976" s="192"/>
      <c r="AI976" s="192"/>
      <c r="AJ976" s="192"/>
      <c r="AK976" s="192"/>
      <c r="AL976" s="192"/>
      <c r="AM976" s="192"/>
      <c r="AN976" s="192"/>
      <c r="AO976" s="192"/>
      <c r="AP976" s="192"/>
      <c r="AQ976" s="192"/>
      <c r="AR976" s="192"/>
      <c r="AS976" s="192"/>
      <c r="AT976" s="192"/>
      <c r="AU976" s="192"/>
      <c r="AV976" s="192"/>
    </row>
    <row r="977">
      <c r="A977" s="192"/>
      <c r="B977" s="192"/>
      <c r="C977" s="192"/>
      <c r="D977" s="192"/>
      <c r="E977" s="192"/>
      <c r="F977" s="192"/>
      <c r="G977" s="192"/>
      <c r="H977" s="192"/>
      <c r="I977" s="192"/>
      <c r="J977" s="192"/>
      <c r="K977" s="192"/>
      <c r="L977" s="192"/>
      <c r="M977" s="192"/>
      <c r="N977" s="192"/>
      <c r="O977" s="192"/>
      <c r="P977" s="192"/>
      <c r="Q977" s="192"/>
      <c r="R977" s="192"/>
      <c r="S977" s="192"/>
      <c r="T977" s="192"/>
      <c r="U977" s="192"/>
      <c r="V977" s="192"/>
      <c r="W977" s="192"/>
      <c r="X977" s="192"/>
      <c r="Y977" s="192"/>
      <c r="Z977" s="192"/>
      <c r="AA977" s="192"/>
      <c r="AB977" s="192"/>
      <c r="AC977" s="192"/>
      <c r="AD977" s="192"/>
      <c r="AE977" s="192"/>
      <c r="AF977" s="192"/>
      <c r="AG977" s="192"/>
      <c r="AH977" s="192"/>
      <c r="AI977" s="192"/>
      <c r="AJ977" s="192"/>
      <c r="AK977" s="192"/>
      <c r="AL977" s="192"/>
      <c r="AM977" s="192"/>
      <c r="AN977" s="192"/>
      <c r="AO977" s="192"/>
      <c r="AP977" s="192"/>
      <c r="AQ977" s="192"/>
      <c r="AR977" s="192"/>
      <c r="AS977" s="192"/>
      <c r="AT977" s="192"/>
      <c r="AU977" s="192"/>
      <c r="AV977" s="192"/>
    </row>
    <row r="978">
      <c r="A978" s="192"/>
      <c r="B978" s="192"/>
      <c r="C978" s="192"/>
      <c r="D978" s="192"/>
      <c r="E978" s="192"/>
      <c r="F978" s="192"/>
      <c r="G978" s="192"/>
      <c r="H978" s="192"/>
      <c r="I978" s="192"/>
      <c r="J978" s="192"/>
      <c r="K978" s="192"/>
      <c r="L978" s="192"/>
      <c r="M978" s="192"/>
      <c r="N978" s="192"/>
      <c r="O978" s="192"/>
      <c r="P978" s="192"/>
      <c r="Q978" s="192"/>
      <c r="R978" s="192"/>
      <c r="S978" s="192"/>
      <c r="T978" s="192"/>
      <c r="U978" s="192"/>
      <c r="V978" s="192"/>
      <c r="W978" s="192"/>
      <c r="X978" s="192"/>
      <c r="Y978" s="192"/>
      <c r="Z978" s="192"/>
      <c r="AA978" s="192"/>
      <c r="AB978" s="192"/>
      <c r="AC978" s="192"/>
      <c r="AD978" s="192"/>
      <c r="AE978" s="192"/>
      <c r="AF978" s="192"/>
      <c r="AG978" s="192"/>
      <c r="AH978" s="192"/>
      <c r="AI978" s="192"/>
      <c r="AJ978" s="192"/>
      <c r="AK978" s="192"/>
      <c r="AL978" s="192"/>
      <c r="AM978" s="192"/>
      <c r="AN978" s="192"/>
      <c r="AO978" s="192"/>
      <c r="AP978" s="192"/>
      <c r="AQ978" s="192"/>
      <c r="AR978" s="192"/>
      <c r="AS978" s="192"/>
      <c r="AT978" s="192"/>
      <c r="AU978" s="192"/>
      <c r="AV978" s="192"/>
    </row>
    <row r="979">
      <c r="A979" s="192"/>
      <c r="B979" s="192"/>
      <c r="C979" s="192"/>
      <c r="D979" s="192"/>
      <c r="E979" s="192"/>
      <c r="F979" s="192"/>
      <c r="G979" s="192"/>
      <c r="H979" s="192"/>
      <c r="I979" s="192"/>
      <c r="J979" s="192"/>
      <c r="K979" s="192"/>
      <c r="L979" s="192"/>
      <c r="M979" s="192"/>
      <c r="N979" s="192"/>
      <c r="O979" s="192"/>
      <c r="P979" s="192"/>
      <c r="Q979" s="192"/>
      <c r="R979" s="192"/>
      <c r="S979" s="192"/>
      <c r="T979" s="192"/>
      <c r="U979" s="192"/>
      <c r="V979" s="192"/>
      <c r="W979" s="192"/>
      <c r="X979" s="192"/>
      <c r="Y979" s="192"/>
      <c r="Z979" s="192"/>
      <c r="AA979" s="192"/>
      <c r="AB979" s="192"/>
      <c r="AC979" s="192"/>
      <c r="AD979" s="192"/>
      <c r="AE979" s="192"/>
      <c r="AF979" s="192"/>
      <c r="AG979" s="192"/>
      <c r="AH979" s="192"/>
      <c r="AI979" s="192"/>
      <c r="AJ979" s="192"/>
      <c r="AK979" s="192"/>
      <c r="AL979" s="192"/>
      <c r="AM979" s="192"/>
      <c r="AN979" s="192"/>
      <c r="AO979" s="192"/>
      <c r="AP979" s="192"/>
      <c r="AQ979" s="192"/>
      <c r="AR979" s="192"/>
      <c r="AS979" s="192"/>
      <c r="AT979" s="192"/>
      <c r="AU979" s="192"/>
      <c r="AV979" s="192"/>
    </row>
    <row r="980">
      <c r="A980" s="192"/>
      <c r="B980" s="192"/>
      <c r="C980" s="192"/>
      <c r="D980" s="192"/>
      <c r="E980" s="192"/>
      <c r="F980" s="192"/>
      <c r="G980" s="192"/>
      <c r="H980" s="192"/>
      <c r="I980" s="192"/>
      <c r="J980" s="192"/>
      <c r="K980" s="192"/>
      <c r="L980" s="192"/>
      <c r="M980" s="192"/>
      <c r="N980" s="192"/>
      <c r="O980" s="192"/>
      <c r="P980" s="192"/>
      <c r="Q980" s="192"/>
      <c r="R980" s="192"/>
      <c r="S980" s="192"/>
      <c r="T980" s="192"/>
      <c r="U980" s="192"/>
      <c r="V980" s="192"/>
      <c r="W980" s="192"/>
      <c r="X980" s="192"/>
      <c r="Y980" s="192"/>
      <c r="Z980" s="192"/>
      <c r="AA980" s="192"/>
      <c r="AB980" s="192"/>
      <c r="AC980" s="192"/>
      <c r="AD980" s="192"/>
      <c r="AE980" s="192"/>
      <c r="AF980" s="192"/>
      <c r="AG980" s="192"/>
      <c r="AH980" s="192"/>
      <c r="AI980" s="192"/>
      <c r="AJ980" s="192"/>
      <c r="AK980" s="192"/>
      <c r="AL980" s="192"/>
      <c r="AM980" s="192"/>
      <c r="AN980" s="192"/>
      <c r="AO980" s="192"/>
      <c r="AP980" s="192"/>
      <c r="AQ980" s="192"/>
      <c r="AR980" s="192"/>
      <c r="AS980" s="192"/>
      <c r="AT980" s="192"/>
      <c r="AU980" s="192"/>
      <c r="AV980" s="192"/>
    </row>
    <row r="981">
      <c r="A981" s="192"/>
      <c r="B981" s="192"/>
      <c r="C981" s="192"/>
      <c r="D981" s="192"/>
      <c r="E981" s="192"/>
      <c r="F981" s="192"/>
      <c r="G981" s="192"/>
      <c r="H981" s="192"/>
      <c r="I981" s="192"/>
      <c r="J981" s="192"/>
      <c r="K981" s="192"/>
      <c r="L981" s="192"/>
      <c r="M981" s="192"/>
      <c r="N981" s="192"/>
      <c r="O981" s="192"/>
      <c r="P981" s="192"/>
      <c r="Q981" s="192"/>
      <c r="R981" s="192"/>
      <c r="S981" s="192"/>
      <c r="T981" s="192"/>
      <c r="U981" s="192"/>
      <c r="V981" s="192"/>
      <c r="W981" s="192"/>
      <c r="X981" s="192"/>
      <c r="Y981" s="192"/>
      <c r="Z981" s="192"/>
      <c r="AA981" s="192"/>
      <c r="AB981" s="192"/>
      <c r="AC981" s="192"/>
      <c r="AD981" s="192"/>
      <c r="AE981" s="192"/>
      <c r="AF981" s="192"/>
      <c r="AG981" s="192"/>
      <c r="AH981" s="192"/>
      <c r="AI981" s="192"/>
      <c r="AJ981" s="192"/>
      <c r="AK981" s="192"/>
      <c r="AL981" s="192"/>
      <c r="AM981" s="192"/>
      <c r="AN981" s="192"/>
      <c r="AO981" s="192"/>
      <c r="AP981" s="192"/>
      <c r="AQ981" s="192"/>
      <c r="AR981" s="192"/>
      <c r="AS981" s="192"/>
      <c r="AT981" s="192"/>
      <c r="AU981" s="192"/>
      <c r="AV981" s="192"/>
    </row>
    <row r="982">
      <c r="A982" s="192"/>
      <c r="B982" s="192"/>
      <c r="C982" s="192"/>
      <c r="D982" s="192"/>
      <c r="E982" s="192"/>
      <c r="F982" s="192"/>
      <c r="G982" s="192"/>
      <c r="H982" s="192"/>
      <c r="I982" s="192"/>
      <c r="J982" s="192"/>
      <c r="K982" s="192"/>
      <c r="L982" s="192"/>
      <c r="M982" s="192"/>
      <c r="N982" s="192"/>
      <c r="O982" s="192"/>
      <c r="P982" s="192"/>
      <c r="Q982" s="192"/>
      <c r="R982" s="192"/>
      <c r="S982" s="192"/>
      <c r="T982" s="192"/>
      <c r="U982" s="192"/>
      <c r="V982" s="192"/>
      <c r="W982" s="192"/>
      <c r="X982" s="192"/>
      <c r="Y982" s="192"/>
      <c r="Z982" s="192"/>
      <c r="AA982" s="192"/>
      <c r="AB982" s="192"/>
      <c r="AC982" s="192"/>
      <c r="AD982" s="192"/>
      <c r="AE982" s="192"/>
      <c r="AF982" s="192"/>
      <c r="AG982" s="192"/>
      <c r="AH982" s="192"/>
      <c r="AI982" s="192"/>
      <c r="AJ982" s="192"/>
      <c r="AK982" s="192"/>
      <c r="AL982" s="192"/>
      <c r="AM982" s="192"/>
      <c r="AN982" s="192"/>
      <c r="AO982" s="192"/>
      <c r="AP982" s="192"/>
      <c r="AQ982" s="192"/>
      <c r="AR982" s="192"/>
      <c r="AS982" s="192"/>
      <c r="AT982" s="192"/>
      <c r="AU982" s="192"/>
      <c r="AV982" s="192"/>
    </row>
    <row r="983">
      <c r="A983" s="192"/>
      <c r="B983" s="192"/>
      <c r="C983" s="192"/>
      <c r="D983" s="192"/>
      <c r="E983" s="192"/>
      <c r="F983" s="192"/>
      <c r="G983" s="192"/>
      <c r="H983" s="192"/>
      <c r="I983" s="192"/>
      <c r="J983" s="192"/>
      <c r="K983" s="192"/>
      <c r="L983" s="192"/>
      <c r="M983" s="192"/>
      <c r="N983" s="192"/>
      <c r="O983" s="192"/>
      <c r="P983" s="192"/>
      <c r="Q983" s="192"/>
      <c r="R983" s="192"/>
      <c r="S983" s="192"/>
      <c r="T983" s="192"/>
      <c r="U983" s="192"/>
      <c r="V983" s="192"/>
      <c r="W983" s="192"/>
      <c r="X983" s="192"/>
      <c r="Y983" s="192"/>
      <c r="Z983" s="192"/>
      <c r="AA983" s="192"/>
      <c r="AB983" s="192"/>
      <c r="AC983" s="192"/>
      <c r="AD983" s="192"/>
      <c r="AE983" s="192"/>
      <c r="AF983" s="192"/>
      <c r="AG983" s="192"/>
      <c r="AH983" s="192"/>
      <c r="AI983" s="192"/>
      <c r="AJ983" s="192"/>
      <c r="AK983" s="192"/>
      <c r="AL983" s="192"/>
      <c r="AM983" s="192"/>
      <c r="AN983" s="192"/>
      <c r="AO983" s="192"/>
      <c r="AP983" s="192"/>
      <c r="AQ983" s="192"/>
      <c r="AR983" s="192"/>
      <c r="AS983" s="192"/>
      <c r="AT983" s="192"/>
      <c r="AU983" s="192"/>
      <c r="AV983" s="192"/>
    </row>
    <row r="984">
      <c r="A984" s="192"/>
      <c r="B984" s="192"/>
      <c r="C984" s="192"/>
      <c r="D984" s="192"/>
      <c r="E984" s="192"/>
      <c r="F984" s="192"/>
      <c r="G984" s="192"/>
      <c r="H984" s="192"/>
      <c r="I984" s="192"/>
      <c r="J984" s="192"/>
      <c r="K984" s="192"/>
      <c r="L984" s="192"/>
      <c r="M984" s="192"/>
      <c r="N984" s="192"/>
      <c r="O984" s="192"/>
      <c r="P984" s="192"/>
      <c r="Q984" s="192"/>
      <c r="R984" s="192"/>
      <c r="S984" s="192"/>
      <c r="T984" s="192"/>
      <c r="U984" s="192"/>
      <c r="V984" s="192"/>
      <c r="W984" s="192"/>
      <c r="X984" s="192"/>
      <c r="Y984" s="192"/>
      <c r="Z984" s="192"/>
      <c r="AA984" s="192"/>
      <c r="AB984" s="192"/>
      <c r="AC984" s="192"/>
      <c r="AD984" s="192"/>
      <c r="AE984" s="192"/>
      <c r="AF984" s="192"/>
      <c r="AG984" s="192"/>
      <c r="AH984" s="192"/>
      <c r="AI984" s="192"/>
      <c r="AJ984" s="192"/>
      <c r="AK984" s="192"/>
      <c r="AL984" s="192"/>
      <c r="AM984" s="192"/>
      <c r="AN984" s="192"/>
      <c r="AO984" s="192"/>
      <c r="AP984" s="192"/>
      <c r="AQ984" s="192"/>
      <c r="AR984" s="192"/>
      <c r="AS984" s="192"/>
      <c r="AT984" s="192"/>
      <c r="AU984" s="192"/>
      <c r="AV984" s="192"/>
    </row>
    <row r="985">
      <c r="A985" s="192"/>
      <c r="B985" s="192"/>
      <c r="C985" s="192"/>
      <c r="D985" s="192"/>
      <c r="E985" s="192"/>
      <c r="F985" s="192"/>
      <c r="G985" s="192"/>
      <c r="H985" s="192"/>
      <c r="I985" s="192"/>
      <c r="J985" s="192"/>
      <c r="K985" s="192"/>
      <c r="L985" s="192"/>
      <c r="M985" s="192"/>
      <c r="N985" s="192"/>
      <c r="O985" s="192"/>
      <c r="P985" s="192"/>
      <c r="Q985" s="192"/>
      <c r="R985" s="192"/>
      <c r="S985" s="192"/>
      <c r="T985" s="192"/>
      <c r="U985" s="192"/>
      <c r="V985" s="192"/>
      <c r="W985" s="192"/>
      <c r="X985" s="192"/>
      <c r="Y985" s="192"/>
      <c r="Z985" s="192"/>
      <c r="AA985" s="192"/>
      <c r="AB985" s="192"/>
      <c r="AC985" s="192"/>
      <c r="AD985" s="192"/>
      <c r="AE985" s="192"/>
      <c r="AF985" s="192"/>
      <c r="AG985" s="192"/>
      <c r="AH985" s="192"/>
      <c r="AI985" s="192"/>
      <c r="AJ985" s="192"/>
      <c r="AK985" s="192"/>
      <c r="AL985" s="192"/>
      <c r="AM985" s="192"/>
      <c r="AN985" s="192"/>
      <c r="AO985" s="192"/>
      <c r="AP985" s="192"/>
      <c r="AQ985" s="192"/>
      <c r="AR985" s="192"/>
      <c r="AS985" s="192"/>
      <c r="AT985" s="192"/>
      <c r="AU985" s="192"/>
      <c r="AV985" s="192"/>
    </row>
    <row r="986">
      <c r="A986" s="192"/>
      <c r="B986" s="192"/>
      <c r="C986" s="192"/>
      <c r="D986" s="192"/>
      <c r="E986" s="192"/>
      <c r="F986" s="192"/>
      <c r="G986" s="192"/>
      <c r="H986" s="192"/>
      <c r="I986" s="192"/>
      <c r="J986" s="192"/>
      <c r="K986" s="192"/>
      <c r="L986" s="192"/>
      <c r="M986" s="192"/>
      <c r="N986" s="192"/>
      <c r="O986" s="192"/>
      <c r="P986" s="192"/>
      <c r="Q986" s="192"/>
      <c r="R986" s="192"/>
      <c r="S986" s="192"/>
      <c r="T986" s="192"/>
      <c r="U986" s="192"/>
      <c r="V986" s="192"/>
      <c r="W986" s="192"/>
      <c r="X986" s="192"/>
      <c r="Y986" s="192"/>
      <c r="Z986" s="192"/>
      <c r="AA986" s="192"/>
      <c r="AB986" s="192"/>
      <c r="AC986" s="192"/>
      <c r="AD986" s="192"/>
      <c r="AE986" s="192"/>
      <c r="AF986" s="192"/>
      <c r="AG986" s="192"/>
      <c r="AH986" s="192"/>
      <c r="AI986" s="192"/>
      <c r="AJ986" s="192"/>
      <c r="AK986" s="192"/>
      <c r="AL986" s="192"/>
      <c r="AM986" s="192"/>
      <c r="AN986" s="192"/>
      <c r="AO986" s="192"/>
      <c r="AP986" s="192"/>
      <c r="AQ986" s="192"/>
      <c r="AR986" s="192"/>
      <c r="AS986" s="192"/>
      <c r="AT986" s="192"/>
      <c r="AU986" s="192"/>
      <c r="AV986" s="192"/>
    </row>
    <row r="987">
      <c r="A987" s="192"/>
      <c r="B987" s="192"/>
      <c r="C987" s="192"/>
      <c r="D987" s="192"/>
      <c r="E987" s="192"/>
      <c r="F987" s="192"/>
      <c r="G987" s="192"/>
      <c r="H987" s="192"/>
      <c r="I987" s="192"/>
      <c r="J987" s="192"/>
      <c r="K987" s="192"/>
      <c r="L987" s="192"/>
      <c r="M987" s="192"/>
      <c r="N987" s="192"/>
      <c r="O987" s="192"/>
      <c r="P987" s="192"/>
      <c r="Q987" s="192"/>
      <c r="R987" s="192"/>
      <c r="S987" s="192"/>
      <c r="T987" s="192"/>
      <c r="U987" s="192"/>
      <c r="V987" s="192"/>
      <c r="W987" s="192"/>
      <c r="X987" s="192"/>
      <c r="Y987" s="192"/>
      <c r="Z987" s="192"/>
      <c r="AA987" s="192"/>
      <c r="AB987" s="192"/>
      <c r="AC987" s="192"/>
      <c r="AD987" s="192"/>
      <c r="AE987" s="192"/>
      <c r="AF987" s="192"/>
      <c r="AG987" s="192"/>
      <c r="AH987" s="192"/>
      <c r="AI987" s="192"/>
      <c r="AJ987" s="192"/>
      <c r="AK987" s="192"/>
      <c r="AL987" s="192"/>
      <c r="AM987" s="192"/>
      <c r="AN987" s="192"/>
      <c r="AO987" s="192"/>
      <c r="AP987" s="192"/>
      <c r="AQ987" s="192"/>
      <c r="AR987" s="192"/>
      <c r="AS987" s="192"/>
      <c r="AT987" s="192"/>
      <c r="AU987" s="192"/>
      <c r="AV987" s="192"/>
    </row>
    <row r="988">
      <c r="A988" s="192"/>
      <c r="B988" s="192"/>
      <c r="C988" s="192"/>
      <c r="D988" s="192"/>
      <c r="E988" s="192"/>
      <c r="F988" s="192"/>
      <c r="G988" s="192"/>
      <c r="H988" s="192"/>
      <c r="I988" s="192"/>
      <c r="J988" s="192"/>
      <c r="K988" s="192"/>
      <c r="L988" s="192"/>
      <c r="M988" s="192"/>
      <c r="N988" s="192"/>
      <c r="O988" s="192"/>
      <c r="P988" s="192"/>
      <c r="Q988" s="192"/>
      <c r="R988" s="192"/>
      <c r="S988" s="192"/>
      <c r="T988" s="192"/>
      <c r="U988" s="192"/>
      <c r="V988" s="192"/>
      <c r="W988" s="192"/>
      <c r="X988" s="192"/>
      <c r="Y988" s="192"/>
      <c r="Z988" s="192"/>
      <c r="AA988" s="192"/>
      <c r="AB988" s="192"/>
      <c r="AC988" s="192"/>
      <c r="AD988" s="192"/>
      <c r="AE988" s="192"/>
      <c r="AF988" s="192"/>
      <c r="AG988" s="192"/>
      <c r="AH988" s="192"/>
      <c r="AI988" s="192"/>
      <c r="AJ988" s="192"/>
      <c r="AK988" s="192"/>
      <c r="AL988" s="192"/>
      <c r="AM988" s="192"/>
      <c r="AN988" s="192"/>
      <c r="AO988" s="192"/>
      <c r="AP988" s="192"/>
      <c r="AQ988" s="192"/>
      <c r="AR988" s="192"/>
      <c r="AS988" s="192"/>
      <c r="AT988" s="192"/>
      <c r="AU988" s="192"/>
      <c r="AV988" s="192"/>
    </row>
    <row r="989">
      <c r="A989" s="192"/>
      <c r="B989" s="192"/>
      <c r="C989" s="192"/>
      <c r="D989" s="192"/>
      <c r="E989" s="192"/>
      <c r="F989" s="192"/>
      <c r="G989" s="192"/>
      <c r="H989" s="192"/>
      <c r="I989" s="192"/>
      <c r="J989" s="192"/>
      <c r="K989" s="192"/>
      <c r="L989" s="192"/>
      <c r="M989" s="192"/>
      <c r="N989" s="192"/>
      <c r="O989" s="192"/>
      <c r="P989" s="192"/>
      <c r="Q989" s="192"/>
      <c r="R989" s="192"/>
      <c r="S989" s="192"/>
      <c r="T989" s="192"/>
      <c r="U989" s="192"/>
      <c r="V989" s="192"/>
      <c r="W989" s="192"/>
      <c r="X989" s="192"/>
      <c r="Y989" s="192"/>
      <c r="Z989" s="192"/>
      <c r="AA989" s="192"/>
      <c r="AB989" s="192"/>
      <c r="AC989" s="192"/>
      <c r="AD989" s="192"/>
      <c r="AE989" s="192"/>
      <c r="AF989" s="192"/>
      <c r="AG989" s="192"/>
      <c r="AH989" s="192"/>
      <c r="AI989" s="192"/>
      <c r="AJ989" s="192"/>
      <c r="AK989" s="192"/>
      <c r="AL989" s="192"/>
      <c r="AM989" s="192"/>
      <c r="AN989" s="192"/>
      <c r="AO989" s="192"/>
      <c r="AP989" s="192"/>
      <c r="AQ989" s="192"/>
      <c r="AR989" s="192"/>
      <c r="AS989" s="192"/>
      <c r="AT989" s="192"/>
      <c r="AU989" s="192"/>
      <c r="AV989" s="192"/>
    </row>
    <row r="990">
      <c r="A990" s="192"/>
      <c r="B990" s="192"/>
      <c r="C990" s="192"/>
      <c r="D990" s="192"/>
      <c r="E990" s="192"/>
      <c r="F990" s="192"/>
      <c r="G990" s="192"/>
      <c r="H990" s="192"/>
      <c r="I990" s="192"/>
      <c r="J990" s="192"/>
      <c r="K990" s="192"/>
      <c r="L990" s="192"/>
      <c r="M990" s="192"/>
      <c r="N990" s="192"/>
      <c r="O990" s="192"/>
      <c r="P990" s="192"/>
      <c r="Q990" s="192"/>
      <c r="R990" s="192"/>
      <c r="S990" s="192"/>
      <c r="T990" s="192"/>
      <c r="U990" s="192"/>
      <c r="V990" s="192"/>
      <c r="W990" s="192"/>
      <c r="X990" s="192"/>
      <c r="Y990" s="192"/>
      <c r="Z990" s="192"/>
      <c r="AA990" s="192"/>
      <c r="AB990" s="192"/>
      <c r="AC990" s="192"/>
      <c r="AD990" s="192"/>
      <c r="AE990" s="192"/>
      <c r="AF990" s="192"/>
      <c r="AG990" s="192"/>
      <c r="AH990" s="192"/>
      <c r="AI990" s="192"/>
      <c r="AJ990" s="192"/>
      <c r="AK990" s="192"/>
      <c r="AL990" s="192"/>
      <c r="AM990" s="192"/>
      <c r="AN990" s="192"/>
      <c r="AO990" s="192"/>
      <c r="AP990" s="192"/>
      <c r="AQ990" s="192"/>
      <c r="AR990" s="192"/>
      <c r="AS990" s="192"/>
      <c r="AT990" s="192"/>
      <c r="AU990" s="192"/>
      <c r="AV990" s="192"/>
    </row>
    <row r="991">
      <c r="A991" s="192"/>
      <c r="B991" s="192"/>
      <c r="C991" s="192"/>
      <c r="D991" s="192"/>
      <c r="E991" s="192"/>
      <c r="F991" s="192"/>
      <c r="G991" s="192"/>
      <c r="H991" s="192"/>
      <c r="I991" s="192"/>
      <c r="J991" s="192"/>
      <c r="K991" s="192"/>
      <c r="L991" s="192"/>
      <c r="M991" s="192"/>
      <c r="N991" s="192"/>
      <c r="O991" s="192"/>
      <c r="P991" s="192"/>
      <c r="Q991" s="192"/>
      <c r="R991" s="192"/>
      <c r="S991" s="192"/>
      <c r="T991" s="192"/>
      <c r="U991" s="192"/>
      <c r="V991" s="192"/>
      <c r="W991" s="192"/>
      <c r="X991" s="192"/>
      <c r="Y991" s="192"/>
      <c r="Z991" s="192"/>
      <c r="AA991" s="192"/>
      <c r="AB991" s="192"/>
      <c r="AC991" s="192"/>
      <c r="AD991" s="192"/>
      <c r="AE991" s="192"/>
      <c r="AF991" s="192"/>
      <c r="AG991" s="192"/>
      <c r="AH991" s="192"/>
      <c r="AI991" s="192"/>
      <c r="AJ991" s="192"/>
      <c r="AK991" s="192"/>
      <c r="AL991" s="192"/>
      <c r="AM991" s="192"/>
      <c r="AN991" s="192"/>
      <c r="AO991" s="192"/>
      <c r="AP991" s="192"/>
      <c r="AQ991" s="192"/>
      <c r="AR991" s="192"/>
      <c r="AS991" s="192"/>
      <c r="AT991" s="192"/>
      <c r="AU991" s="192"/>
      <c r="AV991" s="192"/>
    </row>
    <row r="992">
      <c r="A992" s="192"/>
      <c r="B992" s="192"/>
      <c r="C992" s="192"/>
      <c r="D992" s="192"/>
      <c r="E992" s="192"/>
      <c r="F992" s="192"/>
      <c r="G992" s="192"/>
      <c r="H992" s="192"/>
      <c r="I992" s="192"/>
      <c r="J992" s="192"/>
      <c r="K992" s="192"/>
      <c r="L992" s="192"/>
      <c r="M992" s="192"/>
      <c r="N992" s="192"/>
      <c r="O992" s="192"/>
      <c r="P992" s="192"/>
      <c r="Q992" s="192"/>
      <c r="R992" s="192"/>
      <c r="S992" s="192"/>
      <c r="T992" s="192"/>
      <c r="U992" s="192"/>
      <c r="V992" s="192"/>
      <c r="W992" s="192"/>
      <c r="X992" s="192"/>
      <c r="Y992" s="192"/>
      <c r="Z992" s="192"/>
      <c r="AA992" s="192"/>
      <c r="AB992" s="192"/>
      <c r="AC992" s="192"/>
      <c r="AD992" s="192"/>
      <c r="AE992" s="192"/>
      <c r="AF992" s="192"/>
      <c r="AG992" s="192"/>
      <c r="AH992" s="192"/>
      <c r="AI992" s="192"/>
      <c r="AJ992" s="192"/>
      <c r="AK992" s="192"/>
      <c r="AL992" s="192"/>
      <c r="AM992" s="192"/>
      <c r="AN992" s="192"/>
      <c r="AO992" s="192"/>
      <c r="AP992" s="192"/>
      <c r="AQ992" s="192"/>
      <c r="AR992" s="192"/>
      <c r="AS992" s="192"/>
      <c r="AT992" s="192"/>
      <c r="AU992" s="192"/>
      <c r="AV992" s="192"/>
    </row>
    <row r="993">
      <c r="A993" s="192"/>
      <c r="B993" s="192"/>
      <c r="C993" s="192"/>
      <c r="D993" s="192"/>
      <c r="E993" s="192"/>
      <c r="F993" s="192"/>
      <c r="G993" s="192"/>
      <c r="H993" s="192"/>
      <c r="I993" s="192"/>
      <c r="J993" s="192"/>
      <c r="K993" s="192"/>
      <c r="L993" s="192"/>
      <c r="M993" s="192"/>
      <c r="N993" s="192"/>
      <c r="O993" s="192"/>
      <c r="P993" s="192"/>
      <c r="Q993" s="192"/>
      <c r="R993" s="192"/>
      <c r="S993" s="192"/>
      <c r="T993" s="192"/>
      <c r="U993" s="192"/>
      <c r="V993" s="192"/>
      <c r="W993" s="192"/>
      <c r="X993" s="192"/>
      <c r="Y993" s="192"/>
      <c r="Z993" s="192"/>
      <c r="AA993" s="192"/>
      <c r="AB993" s="192"/>
      <c r="AC993" s="192"/>
      <c r="AD993" s="192"/>
      <c r="AE993" s="192"/>
      <c r="AF993" s="192"/>
      <c r="AG993" s="192"/>
      <c r="AH993" s="192"/>
      <c r="AI993" s="192"/>
      <c r="AJ993" s="192"/>
      <c r="AK993" s="192"/>
      <c r="AL993" s="192"/>
      <c r="AM993" s="192"/>
      <c r="AN993" s="192"/>
      <c r="AO993" s="192"/>
      <c r="AP993" s="192"/>
      <c r="AQ993" s="192"/>
      <c r="AR993" s="192"/>
      <c r="AS993" s="192"/>
      <c r="AT993" s="192"/>
      <c r="AU993" s="192"/>
      <c r="AV993" s="192"/>
    </row>
    <row r="994">
      <c r="A994" s="192"/>
      <c r="B994" s="192"/>
      <c r="C994" s="192"/>
      <c r="D994" s="192"/>
      <c r="E994" s="192"/>
      <c r="F994" s="192"/>
      <c r="G994" s="192"/>
      <c r="H994" s="192"/>
      <c r="I994" s="192"/>
      <c r="J994" s="192"/>
      <c r="K994" s="192"/>
      <c r="L994" s="192"/>
      <c r="M994" s="192"/>
      <c r="N994" s="192"/>
      <c r="O994" s="192"/>
      <c r="P994" s="192"/>
      <c r="Q994" s="192"/>
      <c r="R994" s="192"/>
      <c r="S994" s="192"/>
      <c r="T994" s="192"/>
      <c r="U994" s="192"/>
      <c r="V994" s="192"/>
      <c r="W994" s="192"/>
      <c r="X994" s="192"/>
      <c r="Y994" s="192"/>
      <c r="Z994" s="192"/>
      <c r="AA994" s="192"/>
      <c r="AB994" s="192"/>
      <c r="AC994" s="192"/>
      <c r="AD994" s="192"/>
      <c r="AE994" s="192"/>
      <c r="AF994" s="192"/>
      <c r="AG994" s="192"/>
      <c r="AH994" s="192"/>
      <c r="AI994" s="192"/>
      <c r="AJ994" s="192"/>
      <c r="AK994" s="192"/>
      <c r="AL994" s="192"/>
      <c r="AM994" s="192"/>
      <c r="AN994" s="192"/>
      <c r="AO994" s="192"/>
      <c r="AP994" s="192"/>
      <c r="AQ994" s="192"/>
      <c r="AR994" s="192"/>
      <c r="AS994" s="192"/>
      <c r="AT994" s="192"/>
      <c r="AU994" s="192"/>
      <c r="AV994" s="192"/>
    </row>
    <row r="995">
      <c r="A995" s="192"/>
      <c r="B995" s="192"/>
      <c r="C995" s="192"/>
      <c r="D995" s="192"/>
      <c r="E995" s="192"/>
      <c r="F995" s="192"/>
      <c r="G995" s="192"/>
      <c r="H995" s="192"/>
      <c r="I995" s="192"/>
      <c r="J995" s="192"/>
      <c r="K995" s="192"/>
      <c r="L995" s="192"/>
      <c r="M995" s="192"/>
      <c r="N995" s="192"/>
      <c r="O995" s="192"/>
      <c r="P995" s="192"/>
      <c r="Q995" s="192"/>
      <c r="R995" s="192"/>
      <c r="S995" s="192"/>
      <c r="T995" s="192"/>
      <c r="U995" s="192"/>
      <c r="V995" s="192"/>
      <c r="W995" s="192"/>
      <c r="X995" s="192"/>
      <c r="Y995" s="192"/>
      <c r="Z995" s="192"/>
      <c r="AA995" s="192"/>
      <c r="AB995" s="192"/>
      <c r="AC995" s="192"/>
      <c r="AD995" s="192"/>
      <c r="AE995" s="192"/>
      <c r="AF995" s="192"/>
      <c r="AG995" s="192"/>
      <c r="AH995" s="192"/>
      <c r="AI995" s="192"/>
      <c r="AJ995" s="192"/>
      <c r="AK995" s="192"/>
      <c r="AL995" s="192"/>
      <c r="AM995" s="192"/>
      <c r="AN995" s="192"/>
      <c r="AO995" s="192"/>
      <c r="AP995" s="192"/>
      <c r="AQ995" s="192"/>
      <c r="AR995" s="192"/>
      <c r="AS995" s="192"/>
      <c r="AT995" s="192"/>
      <c r="AU995" s="192"/>
      <c r="AV995" s="192"/>
    </row>
    <row r="996">
      <c r="A996" s="192"/>
      <c r="B996" s="192"/>
      <c r="C996" s="192"/>
      <c r="D996" s="192"/>
      <c r="E996" s="192"/>
      <c r="F996" s="192"/>
      <c r="G996" s="192"/>
      <c r="H996" s="192"/>
      <c r="I996" s="192"/>
      <c r="J996" s="192"/>
      <c r="K996" s="192"/>
      <c r="L996" s="192"/>
      <c r="M996" s="192"/>
      <c r="N996" s="192"/>
      <c r="O996" s="192"/>
      <c r="P996" s="192"/>
      <c r="Q996" s="192"/>
      <c r="R996" s="192"/>
      <c r="S996" s="192"/>
      <c r="T996" s="192"/>
      <c r="U996" s="192"/>
      <c r="V996" s="192"/>
      <c r="W996" s="192"/>
      <c r="X996" s="192"/>
      <c r="Y996" s="192"/>
      <c r="Z996" s="192"/>
      <c r="AA996" s="192"/>
      <c r="AB996" s="192"/>
      <c r="AC996" s="192"/>
      <c r="AD996" s="192"/>
      <c r="AE996" s="192"/>
      <c r="AF996" s="192"/>
      <c r="AG996" s="192"/>
      <c r="AH996" s="192"/>
      <c r="AI996" s="192"/>
      <c r="AJ996" s="192"/>
      <c r="AK996" s="192"/>
      <c r="AL996" s="192"/>
      <c r="AM996" s="192"/>
      <c r="AN996" s="192"/>
      <c r="AO996" s="192"/>
      <c r="AP996" s="192"/>
      <c r="AQ996" s="192"/>
      <c r="AR996" s="192"/>
      <c r="AS996" s="192"/>
      <c r="AT996" s="192"/>
      <c r="AU996" s="192"/>
      <c r="AV996" s="192"/>
    </row>
    <row r="997">
      <c r="A997" s="192"/>
      <c r="B997" s="192"/>
      <c r="C997" s="192"/>
      <c r="D997" s="192"/>
      <c r="E997" s="192"/>
      <c r="F997" s="192"/>
      <c r="G997" s="192"/>
      <c r="H997" s="192"/>
      <c r="I997" s="192"/>
      <c r="J997" s="192"/>
      <c r="K997" s="192"/>
      <c r="L997" s="192"/>
      <c r="M997" s="192"/>
      <c r="N997" s="192"/>
      <c r="O997" s="192"/>
      <c r="P997" s="192"/>
      <c r="Q997" s="192"/>
      <c r="R997" s="192"/>
      <c r="S997" s="192"/>
      <c r="T997" s="192"/>
      <c r="U997" s="192"/>
      <c r="V997" s="192"/>
      <c r="W997" s="192"/>
      <c r="X997" s="192"/>
      <c r="Y997" s="192"/>
      <c r="Z997" s="192"/>
      <c r="AA997" s="192"/>
      <c r="AB997" s="192"/>
      <c r="AC997" s="192"/>
      <c r="AD997" s="192"/>
      <c r="AE997" s="192"/>
      <c r="AF997" s="192"/>
      <c r="AG997" s="192"/>
      <c r="AH997" s="192"/>
      <c r="AI997" s="192"/>
      <c r="AJ997" s="192"/>
      <c r="AK997" s="192"/>
      <c r="AL997" s="192"/>
      <c r="AM997" s="192"/>
      <c r="AN997" s="192"/>
      <c r="AO997" s="192"/>
      <c r="AP997" s="192"/>
      <c r="AQ997" s="192"/>
      <c r="AR997" s="192"/>
      <c r="AS997" s="192"/>
      <c r="AT997" s="192"/>
      <c r="AU997" s="192"/>
      <c r="AV997" s="192"/>
    </row>
    <row r="998">
      <c r="A998" s="192"/>
      <c r="B998" s="192"/>
      <c r="C998" s="192"/>
      <c r="D998" s="192"/>
      <c r="E998" s="192"/>
      <c r="F998" s="192"/>
      <c r="G998" s="192"/>
      <c r="H998" s="192"/>
      <c r="I998" s="192"/>
      <c r="J998" s="192"/>
      <c r="K998" s="192"/>
      <c r="L998" s="192"/>
      <c r="M998" s="192"/>
      <c r="N998" s="192"/>
      <c r="O998" s="192"/>
      <c r="P998" s="192"/>
      <c r="Q998" s="192"/>
      <c r="R998" s="192"/>
      <c r="S998" s="192"/>
      <c r="T998" s="192"/>
      <c r="U998" s="192"/>
      <c r="V998" s="192"/>
      <c r="W998" s="192"/>
      <c r="X998" s="192"/>
      <c r="Y998" s="192"/>
      <c r="Z998" s="192"/>
      <c r="AA998" s="192"/>
      <c r="AB998" s="192"/>
      <c r="AC998" s="192"/>
      <c r="AD998" s="192"/>
      <c r="AE998" s="192"/>
      <c r="AF998" s="192"/>
      <c r="AG998" s="192"/>
      <c r="AH998" s="192"/>
      <c r="AI998" s="192"/>
      <c r="AJ998" s="192"/>
      <c r="AK998" s="192"/>
      <c r="AL998" s="192"/>
      <c r="AM998" s="192"/>
      <c r="AN998" s="192"/>
      <c r="AO998" s="192"/>
      <c r="AP998" s="192"/>
      <c r="AQ998" s="192"/>
      <c r="AR998" s="192"/>
      <c r="AS998" s="192"/>
      <c r="AT998" s="192"/>
      <c r="AU998" s="192"/>
      <c r="AV998" s="192"/>
    </row>
    <row r="999">
      <c r="A999" s="192"/>
      <c r="B999" s="192"/>
      <c r="C999" s="192"/>
      <c r="D999" s="192"/>
      <c r="E999" s="192"/>
      <c r="F999" s="192"/>
      <c r="G999" s="192"/>
      <c r="H999" s="192"/>
      <c r="I999" s="192"/>
      <c r="J999" s="192"/>
      <c r="K999" s="192"/>
      <c r="L999" s="192"/>
      <c r="M999" s="192"/>
      <c r="N999" s="192"/>
      <c r="O999" s="192"/>
      <c r="P999" s="192"/>
      <c r="Q999" s="192"/>
      <c r="R999" s="192"/>
      <c r="S999" s="192"/>
      <c r="T999" s="192"/>
      <c r="U999" s="192"/>
      <c r="V999" s="192"/>
      <c r="W999" s="192"/>
      <c r="X999" s="192"/>
      <c r="Y999" s="192"/>
      <c r="Z999" s="192"/>
      <c r="AA999" s="192"/>
      <c r="AB999" s="192"/>
      <c r="AC999" s="192"/>
      <c r="AD999" s="192"/>
      <c r="AE999" s="192"/>
      <c r="AF999" s="192"/>
      <c r="AG999" s="192"/>
      <c r="AH999" s="192"/>
      <c r="AI999" s="192"/>
      <c r="AJ999" s="192"/>
      <c r="AK999" s="192"/>
      <c r="AL999" s="192"/>
      <c r="AM999" s="192"/>
      <c r="AN999" s="192"/>
      <c r="AO999" s="192"/>
      <c r="AP999" s="192"/>
      <c r="AQ999" s="192"/>
      <c r="AR999" s="192"/>
      <c r="AS999" s="192"/>
      <c r="AT999" s="192"/>
      <c r="AU999" s="192"/>
      <c r="AV999" s="192"/>
    </row>
    <row r="1000">
      <c r="A1000" s="192"/>
      <c r="B1000" s="192"/>
      <c r="C1000" s="192"/>
      <c r="D1000" s="192"/>
      <c r="E1000" s="192"/>
      <c r="F1000" s="192"/>
      <c r="G1000" s="192"/>
      <c r="H1000" s="192"/>
      <c r="I1000" s="192"/>
      <c r="J1000" s="192"/>
      <c r="K1000" s="192"/>
      <c r="L1000" s="192"/>
      <c r="M1000" s="192"/>
      <c r="N1000" s="192"/>
      <c r="O1000" s="192"/>
      <c r="P1000" s="192"/>
      <c r="Q1000" s="192"/>
      <c r="R1000" s="192"/>
      <c r="S1000" s="192"/>
      <c r="T1000" s="192"/>
      <c r="U1000" s="192"/>
      <c r="V1000" s="192"/>
      <c r="W1000" s="192"/>
      <c r="X1000" s="192"/>
      <c r="Y1000" s="192"/>
      <c r="Z1000" s="192"/>
      <c r="AA1000" s="192"/>
      <c r="AB1000" s="192"/>
      <c r="AC1000" s="192"/>
      <c r="AD1000" s="192"/>
      <c r="AE1000" s="192"/>
      <c r="AF1000" s="192"/>
      <c r="AG1000" s="192"/>
      <c r="AH1000" s="192"/>
      <c r="AI1000" s="192"/>
      <c r="AJ1000" s="192"/>
      <c r="AK1000" s="192"/>
      <c r="AL1000" s="192"/>
      <c r="AM1000" s="192"/>
      <c r="AN1000" s="192"/>
      <c r="AO1000" s="192"/>
      <c r="AP1000" s="192"/>
      <c r="AQ1000" s="192"/>
      <c r="AR1000" s="192"/>
      <c r="AS1000" s="192"/>
      <c r="AT1000" s="192"/>
      <c r="AU1000" s="192"/>
    </row>
  </sheetData>
  <mergeCells count="3">
    <mergeCell ref="A1:AV1"/>
    <mergeCell ref="A3:E3"/>
    <mergeCell ref="G3:K3"/>
  </mergeCells>
  <hyperlinks>
    <hyperlink r:id="rId1" ref="A1"/>
  </hyperlinks>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0.38"/>
    <col customWidth="1" min="2" max="2" width="19.75"/>
    <col customWidth="1" min="5" max="5" width="29.88"/>
    <col customWidth="1" min="8" max="8" width="73.75"/>
  </cols>
  <sheetData>
    <row r="1">
      <c r="A1" s="214" t="s">
        <v>457</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6"/>
      <c r="AW1" s="217"/>
      <c r="AX1" s="217"/>
    </row>
    <row r="2">
      <c r="A2" s="26"/>
      <c r="B2" s="26"/>
      <c r="C2" s="26"/>
      <c r="D2" s="26"/>
      <c r="E2" s="26"/>
      <c r="F2" s="26"/>
      <c r="G2" s="26"/>
      <c r="H2" s="27" t="s">
        <v>458</v>
      </c>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row>
    <row r="3">
      <c r="A3" s="218" t="s">
        <v>459</v>
      </c>
      <c r="B3" s="16"/>
      <c r="C3" s="219"/>
      <c r="D3" s="219"/>
      <c r="E3" s="219"/>
      <c r="F3" s="26"/>
      <c r="G3" s="26"/>
      <c r="H3" s="220" t="s">
        <v>460</v>
      </c>
      <c r="I3" s="26" t="s">
        <v>461</v>
      </c>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row>
    <row r="4">
      <c r="A4" s="221" t="s">
        <v>462</v>
      </c>
      <c r="B4" s="222" t="s">
        <v>463</v>
      </c>
      <c r="C4" s="223"/>
      <c r="D4" s="223"/>
      <c r="E4" s="223"/>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row>
    <row r="5">
      <c r="A5" s="224" t="s">
        <v>464</v>
      </c>
      <c r="B5" s="225">
        <v>0.13</v>
      </c>
      <c r="C5" s="163"/>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row>
    <row r="6">
      <c r="A6" s="226" t="s">
        <v>465</v>
      </c>
      <c r="B6" s="227">
        <v>0.12</v>
      </c>
      <c r="C6" s="163"/>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row>
    <row r="7">
      <c r="A7" s="226" t="s">
        <v>466</v>
      </c>
      <c r="B7" s="227">
        <v>0.11</v>
      </c>
      <c r="C7" s="163"/>
      <c r="D7" s="168"/>
      <c r="E7" s="168"/>
      <c r="F7" s="168"/>
      <c r="G7" s="168"/>
      <c r="H7" s="168"/>
      <c r="I7" s="168"/>
      <c r="J7" s="168"/>
      <c r="K7" s="168"/>
      <c r="L7" s="168"/>
      <c r="M7" s="168"/>
      <c r="N7" s="168"/>
      <c r="O7" s="168"/>
      <c r="P7" s="168"/>
      <c r="Q7" s="168"/>
      <c r="R7" s="168"/>
      <c r="S7" s="164"/>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row>
    <row r="8">
      <c r="A8" s="226" t="s">
        <v>467</v>
      </c>
      <c r="B8" s="228">
        <v>0.11</v>
      </c>
      <c r="C8" s="163"/>
      <c r="D8" s="168"/>
      <c r="E8" s="168"/>
      <c r="F8" s="168"/>
      <c r="G8" s="168"/>
      <c r="H8" s="168"/>
      <c r="I8" s="168"/>
      <c r="J8" s="168"/>
      <c r="K8" s="164"/>
      <c r="L8" s="168"/>
      <c r="M8" s="168"/>
      <c r="N8" s="168"/>
      <c r="O8" s="168"/>
      <c r="P8" s="168"/>
      <c r="Q8" s="168"/>
      <c r="R8" s="168"/>
      <c r="S8" s="164"/>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row>
    <row r="9">
      <c r="A9" s="226" t="s">
        <v>468</v>
      </c>
      <c r="B9" s="228">
        <v>0.07</v>
      </c>
      <c r="C9" s="163"/>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row>
    <row r="10">
      <c r="A10" s="226" t="s">
        <v>469</v>
      </c>
      <c r="B10" s="228">
        <v>0.07</v>
      </c>
      <c r="C10" s="163"/>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row>
    <row r="11">
      <c r="A11" s="226" t="s">
        <v>470</v>
      </c>
      <c r="B11" s="228">
        <v>0.06</v>
      </c>
      <c r="C11" s="163"/>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row>
    <row r="12">
      <c r="A12" s="226" t="s">
        <v>471</v>
      </c>
      <c r="B12" s="228">
        <v>0.05</v>
      </c>
      <c r="C12" s="163"/>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row>
    <row r="13">
      <c r="A13" s="226" t="s">
        <v>472</v>
      </c>
      <c r="B13" s="228">
        <v>0.05</v>
      </c>
      <c r="C13" s="163"/>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row>
    <row r="14">
      <c r="A14" s="226" t="s">
        <v>473</v>
      </c>
      <c r="B14" s="228">
        <v>0.05</v>
      </c>
      <c r="C14" s="163"/>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row>
    <row r="15">
      <c r="A15" s="226" t="s">
        <v>474</v>
      </c>
      <c r="B15" s="228">
        <v>0.04</v>
      </c>
      <c r="C15" s="163"/>
      <c r="D15" s="168"/>
      <c r="E15" s="168"/>
      <c r="F15" s="168"/>
      <c r="G15" s="168"/>
      <c r="H15" s="168"/>
      <c r="I15" s="168"/>
      <c r="J15" s="168"/>
      <c r="K15" s="164"/>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row>
    <row r="16">
      <c r="A16" s="226" t="s">
        <v>475</v>
      </c>
      <c r="B16" s="228">
        <v>0.04</v>
      </c>
      <c r="C16" s="163"/>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row>
    <row r="17">
      <c r="A17" s="226" t="s">
        <v>476</v>
      </c>
      <c r="B17" s="228">
        <v>0.02</v>
      </c>
      <c r="C17" s="163"/>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row>
    <row r="18">
      <c r="A18" s="229" t="s">
        <v>477</v>
      </c>
      <c r="B18" s="230">
        <v>0.02</v>
      </c>
      <c r="C18" s="163"/>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row>
    <row r="19">
      <c r="A19" s="226" t="s">
        <v>478</v>
      </c>
      <c r="B19" s="228">
        <v>0.01</v>
      </c>
      <c r="C19" s="163"/>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row>
    <row r="20">
      <c r="A20" s="231" t="s">
        <v>479</v>
      </c>
      <c r="B20" s="228">
        <v>0.01</v>
      </c>
      <c r="C20" s="163"/>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row>
    <row r="21">
      <c r="A21" s="185" t="s">
        <v>480</v>
      </c>
      <c r="B21" s="228">
        <v>0.01</v>
      </c>
      <c r="C21" s="163"/>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row>
    <row r="22">
      <c r="A22" s="222" t="s">
        <v>335</v>
      </c>
      <c r="B22" s="232">
        <v>1.0</v>
      </c>
      <c r="C22" s="233"/>
      <c r="D22" s="234"/>
      <c r="E22" s="234"/>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row>
    <row r="23">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row>
    <row r="24">
      <c r="A24" s="235" t="s">
        <v>481</v>
      </c>
      <c r="B24" s="15"/>
      <c r="C24" s="16"/>
      <c r="D24" s="168"/>
      <c r="E24" s="168"/>
      <c r="F24" s="168"/>
      <c r="G24" s="26"/>
      <c r="H24" s="236" t="s">
        <v>482</v>
      </c>
      <c r="I24" s="168" t="s">
        <v>483</v>
      </c>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row>
    <row r="25">
      <c r="A25" s="224" t="s">
        <v>484</v>
      </c>
      <c r="B25" s="237">
        <v>270.0</v>
      </c>
      <c r="C25" s="216"/>
      <c r="D25" s="165"/>
      <c r="E25" s="165"/>
      <c r="F25" s="165"/>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row>
    <row r="26">
      <c r="A26" s="226" t="s">
        <v>485</v>
      </c>
      <c r="B26" s="238">
        <v>85.0</v>
      </c>
      <c r="C26" s="239"/>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row>
    <row r="27">
      <c r="A27" s="226" t="s">
        <v>486</v>
      </c>
      <c r="B27" s="240">
        <f>B26/B25</f>
        <v>0.3148148148</v>
      </c>
      <c r="C27" s="239"/>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row>
    <row r="28">
      <c r="A28" s="241" t="s">
        <v>487</v>
      </c>
      <c r="B28" s="242">
        <f>(B25-B26)/B25</f>
        <v>0.6851851852</v>
      </c>
      <c r="C28" s="194"/>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row>
    <row r="29">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row>
    <row r="30">
      <c r="A30" s="218" t="s">
        <v>488</v>
      </c>
      <c r="B30" s="1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row>
    <row r="31">
      <c r="A31" s="102" t="s">
        <v>489</v>
      </c>
      <c r="B31" s="243">
        <v>0.25</v>
      </c>
      <c r="C31" s="26"/>
      <c r="D31" s="26"/>
      <c r="E31" s="26"/>
      <c r="F31" s="26"/>
      <c r="G31" s="26"/>
      <c r="H31" s="220" t="s">
        <v>490</v>
      </c>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row>
    <row r="32">
      <c r="A32" s="244" t="s">
        <v>491</v>
      </c>
      <c r="B32" s="245">
        <v>0.02</v>
      </c>
      <c r="C32" s="26"/>
      <c r="D32" s="26"/>
      <c r="E32" s="26"/>
      <c r="F32" s="26"/>
      <c r="G32" s="26"/>
      <c r="H32" s="220" t="s">
        <v>492</v>
      </c>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row>
    <row r="33">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row>
    <row r="34">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row>
    <row r="3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row>
    <row r="36">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row>
    <row r="37">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row>
    <row r="38">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row>
    <row r="39">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row>
    <row r="40">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row>
    <row r="4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row>
    <row r="42">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row>
    <row r="43">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row>
    <row r="44">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row>
    <row r="4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row>
    <row r="46">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row>
    <row r="47">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row>
    <row r="48">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row>
    <row r="49">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row>
    <row r="50">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row>
    <row r="5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row>
    <row r="52">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row>
    <row r="53">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row>
    <row r="54">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row>
    <row r="5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row>
    <row r="56">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row>
    <row r="57">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row>
    <row r="58">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row>
    <row r="59">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row>
    <row r="60">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row>
    <row r="6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row>
    <row r="6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row>
    <row r="63">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row>
    <row r="64">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row>
    <row r="6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row>
    <row r="66">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row>
    <row r="67">
      <c r="A67" s="217"/>
      <c r="B67" s="217"/>
      <c r="C67" s="217"/>
      <c r="D67" s="26"/>
      <c r="E67" s="217"/>
      <c r="F67" s="217"/>
      <c r="G67" s="217"/>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row>
    <row r="68">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row>
    <row r="69">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row>
    <row r="70">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row>
    <row r="7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row>
    <row r="72">
      <c r="A72" s="217"/>
      <c r="B72" s="217"/>
      <c r="C72" s="217"/>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row>
    <row r="73">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row>
    <row r="74">
      <c r="A74" s="217"/>
      <c r="B74" s="246"/>
      <c r="C74" s="24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row>
    <row r="7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row>
    <row r="76">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row>
    <row r="77">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row>
    <row r="78">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row>
    <row r="79">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row>
    <row r="80">
      <c r="A80" s="217"/>
      <c r="B80" s="217"/>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row>
    <row r="81">
      <c r="A81" s="217"/>
      <c r="B81" s="217"/>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row>
    <row r="82">
      <c r="A82" s="247"/>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row>
    <row r="83">
      <c r="A83" s="247"/>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row>
    <row r="84">
      <c r="A84" s="247"/>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row>
    <row r="85">
      <c r="A85" s="247"/>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row>
    <row r="86">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row>
    <row r="87">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row>
    <row r="88">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row>
    <row r="89">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row>
    <row r="90">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row>
    <row r="9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row>
    <row r="9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row>
    <row r="93">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row>
    <row r="94">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row>
    <row r="9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row>
    <row r="96">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row>
    <row r="97">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row>
    <row r="98">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row>
    <row r="99">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row>
    <row r="100">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row>
    <row r="10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row>
    <row r="1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row>
    <row r="104">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row>
    <row r="10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row>
    <row r="106">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row>
    <row r="107">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row>
    <row r="108">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row>
    <row r="109">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row>
    <row r="110">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row>
    <row r="11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row>
    <row r="11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row>
    <row r="11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row>
    <row r="114">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row>
    <row r="11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row>
    <row r="116">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row>
    <row r="117">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row>
    <row r="118">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row>
    <row r="119">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row>
    <row r="120">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row>
    <row r="12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row>
    <row r="12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row>
    <row r="12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row>
    <row r="124">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row>
    <row r="12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row>
    <row r="126">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row>
    <row r="127">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row>
    <row r="128">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row>
    <row r="129">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row>
    <row r="130">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row>
    <row r="13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row>
    <row r="13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row>
    <row r="133">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row>
    <row r="134">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row>
    <row r="13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row>
    <row r="136">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row>
    <row r="137">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row>
    <row r="138">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row>
    <row r="139">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row>
    <row r="140">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row>
    <row r="14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row>
    <row r="14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row>
    <row r="143">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row>
    <row r="144">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row>
    <row r="14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row>
    <row r="146">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row>
    <row r="147">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row>
    <row r="148">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row>
    <row r="149">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row>
    <row r="150">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row>
    <row r="15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row>
    <row r="15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row>
    <row r="153">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row>
    <row r="154">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row>
    <row r="15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row>
    <row r="156">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row>
    <row r="157">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row>
    <row r="158">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row>
    <row r="159">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row>
    <row r="160">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row>
    <row r="16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row>
    <row r="16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row>
    <row r="163">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row>
    <row r="164">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row>
    <row r="16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row>
    <row r="166">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row>
    <row r="167">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row>
    <row r="168">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row>
    <row r="169">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row>
    <row r="170">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row>
    <row r="17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row>
    <row r="17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row>
    <row r="173">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row>
    <row r="174">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row>
    <row r="17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row>
    <row r="176">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row>
    <row r="177">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row>
    <row r="178">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row>
    <row r="179">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row>
    <row r="180">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row>
    <row r="18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row>
    <row r="18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row>
    <row r="183">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row>
    <row r="184">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row>
    <row r="18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row>
    <row r="186">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row>
    <row r="187">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row>
    <row r="188">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row>
    <row r="189">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row>
    <row r="190">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row>
    <row r="19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row>
    <row r="19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row>
    <row r="193">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row>
    <row r="194">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row>
    <row r="19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row>
    <row r="196">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row>
    <row r="197">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row>
    <row r="198">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row>
    <row r="199">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row>
    <row r="200">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row>
    <row r="20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row>
    <row r="2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row>
    <row r="203">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row>
    <row r="204">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row>
    <row r="20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row>
    <row r="206">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row>
    <row r="207">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row>
    <row r="208">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row>
    <row r="209">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row>
    <row r="210">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row>
    <row r="21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row>
    <row r="21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row>
    <row r="213">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row>
    <row r="214">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row>
    <row r="21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row>
    <row r="216">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row>
    <row r="217">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row>
    <row r="218">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row>
    <row r="219">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row>
    <row r="220">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row>
    <row r="22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row>
    <row r="22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row>
    <row r="223">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row>
    <row r="224">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row>
    <row r="22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row>
    <row r="226">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row>
    <row r="227">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row>
    <row r="228">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row>
    <row r="229">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row>
    <row r="230">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row>
    <row r="23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row>
    <row r="23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row>
    <row r="233">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row>
    <row r="234">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row>
    <row r="23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row>
    <row r="236">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row>
    <row r="237">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row>
    <row r="238">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row>
    <row r="239">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row>
    <row r="240">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row>
    <row r="24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row>
    <row r="24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row>
    <row r="243">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row>
    <row r="244">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row>
    <row r="24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row>
    <row r="246">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row>
    <row r="247">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row>
    <row r="248">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row>
    <row r="249">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row>
    <row r="250">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row>
    <row r="25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row>
    <row r="25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row>
    <row r="253">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row>
    <row r="254">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row>
    <row r="25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row>
    <row r="256">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row>
    <row r="257">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row>
    <row r="258">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row>
    <row r="259">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row>
    <row r="260">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row>
    <row r="26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row>
    <row r="26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row>
    <row r="263">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row>
    <row r="264">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row>
    <row r="26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row>
    <row r="266">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row>
    <row r="267">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row>
    <row r="268">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row>
    <row r="269">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row>
    <row r="270">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row>
    <row r="27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row>
    <row r="27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row>
    <row r="273">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row>
    <row r="274">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row>
    <row r="27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row>
    <row r="276">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row>
    <row r="277">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row>
    <row r="278">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row>
    <row r="279">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row>
    <row r="280">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row>
    <row r="28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row>
    <row r="28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row>
    <row r="283">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row>
    <row r="284">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row>
    <row r="28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row>
    <row r="286">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row>
    <row r="287">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row>
    <row r="288">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row>
    <row r="289">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row>
    <row r="290">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row>
    <row r="29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row>
    <row r="29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row>
    <row r="293">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row>
    <row r="294">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row>
    <row r="29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row>
    <row r="296">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row>
    <row r="297">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row>
    <row r="298">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row>
    <row r="299">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row>
    <row r="300">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row>
    <row r="30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row>
    <row r="3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row>
    <row r="303">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row>
    <row r="304">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row>
    <row r="30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row>
    <row r="306">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row>
    <row r="307">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row>
    <row r="308">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row>
    <row r="309">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row>
    <row r="310">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row>
    <row r="31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row>
    <row r="31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row>
    <row r="313">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row>
    <row r="314">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row>
    <row r="31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row>
    <row r="316">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row>
    <row r="317">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row>
    <row r="318">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row>
    <row r="319">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row>
    <row r="320">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row>
    <row r="32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row>
    <row r="32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row>
    <row r="323">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row>
    <row r="324">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row>
    <row r="32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row>
    <row r="326">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row>
    <row r="327">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row>
    <row r="328">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row>
    <row r="329">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row>
    <row r="330">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row>
    <row r="33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row>
    <row r="33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row>
    <row r="333">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row>
    <row r="334">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row>
    <row r="33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row>
    <row r="336">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row>
    <row r="337">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row>
    <row r="338">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row>
    <row r="339">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row>
    <row r="340">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row>
    <row r="34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row>
    <row r="34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row>
    <row r="343">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row>
    <row r="344">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row>
    <row r="34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row>
    <row r="346">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row>
    <row r="347">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row>
    <row r="348">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row>
    <row r="349">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row>
    <row r="350">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row>
    <row r="35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row>
    <row r="35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row>
    <row r="353">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row>
    <row r="354">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row>
    <row r="35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row>
    <row r="356">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row>
    <row r="357">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row>
    <row r="358">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row>
    <row r="359">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row>
    <row r="360">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row>
    <row r="36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row>
    <row r="36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row>
    <row r="363">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row>
    <row r="364">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row>
    <row r="36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row>
    <row r="366">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row>
    <row r="367">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row>
    <row r="368">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row>
    <row r="369">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row>
    <row r="370">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row>
    <row r="37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row>
    <row r="37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row>
    <row r="373">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row>
    <row r="374">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row>
    <row r="37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row>
    <row r="376">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row>
    <row r="377">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row>
    <row r="378">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row>
    <row r="379">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row>
    <row r="380">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row>
    <row r="38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row>
    <row r="38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row>
    <row r="383">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row>
    <row r="384">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row>
    <row r="38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row>
    <row r="386">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row>
    <row r="387">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row>
    <row r="388">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row>
    <row r="389">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row>
    <row r="390">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row>
    <row r="39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row>
    <row r="39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row>
    <row r="393">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row>
    <row r="394">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row>
    <row r="39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row>
    <row r="396">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row>
    <row r="397">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row>
    <row r="398">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row>
    <row r="399">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row>
    <row r="400">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row>
    <row r="40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row>
    <row r="4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row>
    <row r="403">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row>
    <row r="404">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row>
    <row r="40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row>
    <row r="406">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row>
    <row r="407">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row>
    <row r="408">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row>
    <row r="409">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row>
    <row r="410">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row>
    <row r="41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row>
    <row r="41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row>
    <row r="413">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row>
    <row r="414">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row>
    <row r="41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row>
    <row r="416">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row>
    <row r="417">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row>
    <row r="418">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row>
    <row r="419">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row>
    <row r="420">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row>
    <row r="42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row>
    <row r="42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row>
    <row r="423">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row>
    <row r="424">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row>
    <row r="42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row>
    <row r="426">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row>
    <row r="427">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row>
    <row r="428">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row>
    <row r="429">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row>
    <row r="430">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row>
    <row r="43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row>
    <row r="43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row>
    <row r="433">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row>
    <row r="434">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row>
    <row r="43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row>
    <row r="436">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row>
    <row r="437">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row>
    <row r="438">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row>
    <row r="439">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row>
    <row r="440">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row>
    <row r="44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row>
    <row r="44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row>
    <row r="443">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row>
    <row r="444">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row>
    <row r="44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row>
    <row r="446">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row>
    <row r="447">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row>
    <row r="448">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row>
    <row r="449">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row>
    <row r="450">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row>
    <row r="45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row>
    <row r="45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row>
    <row r="453">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row>
    <row r="454">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row>
    <row r="45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row>
    <row r="456">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row>
    <row r="457">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row>
    <row r="458">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row>
    <row r="459">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row>
    <row r="460">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row>
    <row r="46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row>
    <row r="46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row>
    <row r="463">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row>
    <row r="464">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row>
    <row r="46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row>
    <row r="466">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row>
    <row r="467">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row>
    <row r="468">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row>
    <row r="469">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row>
    <row r="470">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row>
    <row r="47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row>
    <row r="47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row>
    <row r="473">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row>
    <row r="474">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row>
    <row r="47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row>
    <row r="476">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row>
    <row r="477">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row>
    <row r="478">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row>
    <row r="479">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row>
    <row r="480">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row>
    <row r="48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row>
    <row r="48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row>
    <row r="483">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row>
    <row r="484">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row>
    <row r="48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row>
    <row r="486">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row>
    <row r="487">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row>
    <row r="488">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row>
    <row r="489">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row>
    <row r="490">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row>
    <row r="49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row>
    <row r="49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row>
    <row r="493">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row>
    <row r="494">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row>
    <row r="49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row>
    <row r="496">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row>
    <row r="497">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row>
    <row r="498">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row>
    <row r="499">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row>
    <row r="500">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row>
    <row r="50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row>
    <row r="5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row>
    <row r="503">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row>
    <row r="504">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row>
    <row r="50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row>
    <row r="506">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row>
    <row r="507">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row>
    <row r="508">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row>
    <row r="509">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row>
    <row r="510">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row>
    <row r="51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row>
    <row r="51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row>
    <row r="513">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row>
    <row r="514">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row>
    <row r="51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row>
    <row r="516">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row>
    <row r="517">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row>
    <row r="518">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row>
    <row r="519">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row>
    <row r="520">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row>
    <row r="52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row>
    <row r="52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row>
    <row r="523">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row>
    <row r="524">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row>
    <row r="52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row>
    <row r="526">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row>
    <row r="527">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row>
    <row r="528">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row>
    <row r="529">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row>
    <row r="530">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row>
    <row r="53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row>
    <row r="53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row>
    <row r="533">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row>
    <row r="534">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row>
    <row r="53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row>
    <row r="536">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row>
    <row r="537">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row>
    <row r="538">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row>
    <row r="539">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row>
    <row r="540">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row>
    <row r="54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row>
    <row r="54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row>
    <row r="543">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row>
    <row r="544">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row>
    <row r="54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row>
    <row r="546">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row>
    <row r="547">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row>
    <row r="548">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row>
    <row r="549">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row>
    <row r="550">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row>
    <row r="55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row>
    <row r="55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row>
    <row r="553">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row>
    <row r="554">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row>
    <row r="55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row>
    <row r="556">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row>
    <row r="557">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row>
    <row r="558">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row>
    <row r="559">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row>
    <row r="560">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row>
    <row r="56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row>
    <row r="56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row>
    <row r="563">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row>
    <row r="564">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row>
    <row r="56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row>
    <row r="566">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row>
    <row r="567">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row>
    <row r="568">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row>
    <row r="569">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row>
    <row r="570">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row>
    <row r="57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row>
    <row r="57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row>
    <row r="573">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row>
    <row r="574">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row>
    <row r="57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row>
    <row r="576">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row>
    <row r="577">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row>
    <row r="579">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row>
    <row r="580">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row>
    <row r="58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row>
    <row r="58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row>
    <row r="583">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row>
    <row r="584">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row>
    <row r="58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row>
    <row r="586">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row>
    <row r="587">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row>
    <row r="588">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row>
    <row r="589">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row>
    <row r="590">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row>
    <row r="59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row>
    <row r="59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row>
    <row r="593">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row>
    <row r="594">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row>
    <row r="59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row>
    <row r="596">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row>
    <row r="597">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row>
    <row r="598">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row>
    <row r="599">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row>
    <row r="600">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row>
    <row r="60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row>
    <row r="6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row>
    <row r="603">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row>
    <row r="604">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row>
    <row r="60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row>
    <row r="606">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row>
    <row r="607">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row>
    <row r="608">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row>
    <row r="609">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row>
    <row r="610">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row>
    <row r="61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row>
    <row r="61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row>
    <row r="613">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row>
    <row r="614">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row>
    <row r="61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row>
    <row r="616">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row>
    <row r="617">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row>
    <row r="618">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row>
    <row r="619">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row>
    <row r="620">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row>
    <row r="62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row>
    <row r="62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row>
    <row r="623">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row>
    <row r="624">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row>
    <row r="62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row>
    <row r="626">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row>
    <row r="627">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row>
    <row r="628">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row>
    <row r="629">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row>
    <row r="630">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row>
    <row r="63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row>
    <row r="63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row>
    <row r="633">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row>
    <row r="634">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row>
    <row r="63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row>
    <row r="636">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row>
    <row r="637">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row>
    <row r="638">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row>
    <row r="639">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row>
    <row r="640">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row>
    <row r="64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row>
    <row r="64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row>
    <row r="643">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row>
    <row r="644">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row>
    <row r="64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row>
    <row r="646">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row>
    <row r="647">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row>
    <row r="648">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row>
    <row r="649">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row>
    <row r="650">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row>
    <row r="65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row>
    <row r="65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row>
    <row r="653">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row>
    <row r="654">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row>
    <row r="65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row>
    <row r="656">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row>
    <row r="657">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row>
    <row r="658">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row>
    <row r="659">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row>
    <row r="660">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row>
    <row r="66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row>
    <row r="66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row>
    <row r="663">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row>
    <row r="664">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row>
    <row r="66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row>
    <row r="666">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row>
    <row r="667">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row>
    <row r="668">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row>
    <row r="669">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row>
    <row r="670">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row>
    <row r="67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row>
    <row r="67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row>
    <row r="673">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row>
    <row r="674">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row>
    <row r="67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row>
    <row r="676">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row>
    <row r="677">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row>
    <row r="678">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row>
    <row r="679">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row>
    <row r="680">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row>
    <row r="68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row>
    <row r="68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row>
    <row r="683">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row>
    <row r="684">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row>
    <row r="68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row>
    <row r="686">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row>
    <row r="687">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row>
    <row r="688">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row>
    <row r="689">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row>
    <row r="690">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row>
    <row r="69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row>
    <row r="69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row>
    <row r="693">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row>
    <row r="694">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row>
    <row r="69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row>
    <row r="696">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row>
    <row r="697">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row>
    <row r="698">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row>
    <row r="699">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row>
    <row r="700">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row>
    <row r="70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row>
    <row r="7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row>
    <row r="703">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row>
    <row r="704">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row>
    <row r="70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row>
    <row r="706">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row>
    <row r="707">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row>
    <row r="708">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row>
    <row r="709">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row>
    <row r="710">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row>
    <row r="71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row>
    <row r="71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row>
    <row r="713">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row>
    <row r="714">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row>
    <row r="71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row>
    <row r="716">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row>
    <row r="717">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row>
    <row r="718">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row>
    <row r="719">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row>
    <row r="720">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row>
    <row r="72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row>
    <row r="72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row>
    <row r="723">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row>
    <row r="724">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row>
    <row r="72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row>
    <row r="726">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row>
    <row r="727">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row>
    <row r="728">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row>
    <row r="729">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row>
    <row r="730">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row>
    <row r="73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row>
    <row r="73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row>
    <row r="733">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row>
    <row r="734">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row>
    <row r="73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row>
    <row r="736">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row>
    <row r="737">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row>
    <row r="738">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row>
    <row r="739">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row>
    <row r="740">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row>
    <row r="74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row>
    <row r="74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row>
    <row r="743">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row>
    <row r="744">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row>
    <row r="74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row>
    <row r="746">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row>
    <row r="747">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row>
    <row r="748">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row>
    <row r="749">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row>
    <row r="750">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row>
    <row r="75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row>
    <row r="75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row>
    <row r="753">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row>
    <row r="754">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row>
    <row r="75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row>
    <row r="756">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row>
    <row r="757">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row>
    <row r="758">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row>
    <row r="759">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row>
    <row r="760">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row>
    <row r="76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row>
    <row r="76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row>
    <row r="763">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row>
    <row r="764">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row>
    <row r="76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row>
    <row r="766">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row>
    <row r="767">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row>
    <row r="768">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row>
    <row r="769">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row>
    <row r="770">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row>
    <row r="77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row>
    <row r="77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row>
    <row r="773">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row>
    <row r="774">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row>
    <row r="77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row>
    <row r="776">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row>
    <row r="777">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row>
    <row r="778">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row>
    <row r="779">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row>
    <row r="780">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row>
    <row r="78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row>
    <row r="78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row>
    <row r="783">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row>
    <row r="784">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row>
    <row r="78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row>
    <row r="786">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row>
    <row r="787">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row>
    <row r="788">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row>
    <row r="789">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row>
    <row r="790">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row>
    <row r="79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row>
    <row r="79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row>
    <row r="793">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row>
    <row r="794">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row>
    <row r="79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row>
    <row r="796">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row>
    <row r="797">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row>
    <row r="798">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row>
    <row r="799">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row>
    <row r="800">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row>
    <row r="80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row>
    <row r="8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row>
    <row r="803">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row>
    <row r="804">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row>
    <row r="80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row>
    <row r="806">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row>
    <row r="807">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row>
    <row r="808">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row>
    <row r="809">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row>
    <row r="810">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row>
    <row r="81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row>
    <row r="81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row>
    <row r="813">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row>
    <row r="814">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row>
    <row r="81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row>
    <row r="816">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row>
    <row r="817">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row>
    <row r="818">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row>
    <row r="819">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row>
    <row r="820">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row>
    <row r="82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row>
    <row r="82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row>
    <row r="823">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row>
    <row r="824">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row>
    <row r="82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row>
    <row r="826">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row>
    <row r="827">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row>
    <row r="828">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row>
    <row r="829">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row>
    <row r="830">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row>
    <row r="83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row>
    <row r="83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row>
    <row r="833">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row>
    <row r="834">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row>
    <row r="83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row>
    <row r="836">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row>
    <row r="837">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c r="AW837" s="26"/>
      <c r="AX837" s="26"/>
    </row>
    <row r="838">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row>
    <row r="839">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row>
    <row r="840">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row>
    <row r="84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row>
    <row r="84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row>
    <row r="843">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row>
    <row r="844">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row>
    <row r="84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c r="AW845" s="26"/>
      <c r="AX845" s="26"/>
    </row>
    <row r="846">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row>
    <row r="847">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row>
    <row r="848">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row>
    <row r="849">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c r="AS849" s="26"/>
      <c r="AT849" s="26"/>
      <c r="AU849" s="26"/>
      <c r="AV849" s="26"/>
      <c r="AW849" s="26"/>
      <c r="AX849" s="26"/>
    </row>
    <row r="850">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6"/>
      <c r="AX850" s="26"/>
    </row>
    <row r="85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c r="AQ851" s="26"/>
      <c r="AR851" s="26"/>
      <c r="AS851" s="26"/>
      <c r="AT851" s="26"/>
      <c r="AU851" s="26"/>
      <c r="AV851" s="26"/>
      <c r="AW851" s="26"/>
      <c r="AX851" s="26"/>
    </row>
    <row r="85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6"/>
      <c r="AX852" s="26"/>
    </row>
    <row r="853">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c r="AQ853" s="26"/>
      <c r="AR853" s="26"/>
      <c r="AS853" s="26"/>
      <c r="AT853" s="26"/>
      <c r="AU853" s="26"/>
      <c r="AV853" s="26"/>
      <c r="AW853" s="26"/>
      <c r="AX853" s="26"/>
    </row>
    <row r="854">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c r="AW854" s="26"/>
      <c r="AX854" s="26"/>
    </row>
    <row r="85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c r="AQ855" s="26"/>
      <c r="AR855" s="26"/>
      <c r="AS855" s="26"/>
      <c r="AT855" s="26"/>
      <c r="AU855" s="26"/>
      <c r="AV855" s="26"/>
      <c r="AW855" s="26"/>
      <c r="AX855" s="26"/>
    </row>
    <row r="856">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6"/>
      <c r="AX856" s="26"/>
    </row>
    <row r="857">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c r="AQ857" s="26"/>
      <c r="AR857" s="26"/>
      <c r="AS857" s="26"/>
      <c r="AT857" s="26"/>
      <c r="AU857" s="26"/>
      <c r="AV857" s="26"/>
      <c r="AW857" s="26"/>
      <c r="AX857" s="26"/>
    </row>
    <row r="858">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c r="AW858" s="26"/>
      <c r="AX858" s="26"/>
    </row>
    <row r="859">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c r="AQ859" s="26"/>
      <c r="AR859" s="26"/>
      <c r="AS859" s="26"/>
      <c r="AT859" s="26"/>
      <c r="AU859" s="26"/>
      <c r="AV859" s="26"/>
      <c r="AW859" s="26"/>
      <c r="AX859" s="26"/>
    </row>
    <row r="860">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26"/>
    </row>
    <row r="86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c r="AQ861" s="26"/>
      <c r="AR861" s="26"/>
      <c r="AS861" s="26"/>
      <c r="AT861" s="26"/>
      <c r="AU861" s="26"/>
      <c r="AV861" s="26"/>
      <c r="AW861" s="26"/>
      <c r="AX861" s="26"/>
    </row>
    <row r="86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c r="AW862" s="26"/>
      <c r="AX862" s="26"/>
    </row>
    <row r="863">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c r="AQ863" s="26"/>
      <c r="AR863" s="26"/>
      <c r="AS863" s="26"/>
      <c r="AT863" s="26"/>
      <c r="AU863" s="26"/>
      <c r="AV863" s="26"/>
      <c r="AW863" s="26"/>
      <c r="AX863" s="26"/>
    </row>
    <row r="864">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6"/>
      <c r="AX864" s="26"/>
    </row>
    <row r="86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c r="AS865" s="26"/>
      <c r="AT865" s="26"/>
      <c r="AU865" s="26"/>
      <c r="AV865" s="26"/>
      <c r="AW865" s="26"/>
      <c r="AX865" s="26"/>
    </row>
    <row r="866">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6"/>
      <c r="AX866" s="26"/>
    </row>
    <row r="867">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c r="AS867" s="26"/>
      <c r="AT867" s="26"/>
      <c r="AU867" s="26"/>
      <c r="AV867" s="26"/>
      <c r="AW867" s="26"/>
      <c r="AX867" s="26"/>
    </row>
    <row r="868">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6"/>
      <c r="AX868" s="26"/>
    </row>
    <row r="869">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c r="AS869" s="26"/>
      <c r="AT869" s="26"/>
      <c r="AU869" s="26"/>
      <c r="AV869" s="26"/>
      <c r="AW869" s="26"/>
      <c r="AX869" s="26"/>
    </row>
    <row r="870">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c r="AW870" s="26"/>
      <c r="AX870" s="26"/>
    </row>
    <row r="87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c r="AQ871" s="26"/>
      <c r="AR871" s="26"/>
      <c r="AS871" s="26"/>
      <c r="AT871" s="26"/>
      <c r="AU871" s="26"/>
      <c r="AV871" s="26"/>
      <c r="AW871" s="26"/>
      <c r="AX871" s="26"/>
    </row>
    <row r="87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c r="AW872" s="26"/>
      <c r="AX872" s="26"/>
    </row>
    <row r="873">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c r="AQ873" s="26"/>
      <c r="AR873" s="26"/>
      <c r="AS873" s="26"/>
      <c r="AT873" s="26"/>
      <c r="AU873" s="26"/>
      <c r="AV873" s="26"/>
      <c r="AW873" s="26"/>
      <c r="AX873" s="26"/>
    </row>
    <row r="874">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6"/>
      <c r="AX874" s="26"/>
    </row>
    <row r="87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c r="AQ875" s="26"/>
      <c r="AR875" s="26"/>
      <c r="AS875" s="26"/>
      <c r="AT875" s="26"/>
      <c r="AU875" s="26"/>
      <c r="AV875" s="26"/>
      <c r="AW875" s="26"/>
      <c r="AX875" s="26"/>
    </row>
    <row r="876">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6"/>
      <c r="AX876" s="26"/>
    </row>
    <row r="877">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c r="AQ877" s="26"/>
      <c r="AR877" s="26"/>
      <c r="AS877" s="26"/>
      <c r="AT877" s="26"/>
      <c r="AU877" s="26"/>
      <c r="AV877" s="26"/>
      <c r="AW877" s="26"/>
      <c r="AX877" s="26"/>
    </row>
    <row r="878">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6"/>
      <c r="AX878" s="26"/>
    </row>
    <row r="879">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c r="AQ879" s="26"/>
      <c r="AR879" s="26"/>
      <c r="AS879" s="26"/>
      <c r="AT879" s="26"/>
      <c r="AU879" s="26"/>
      <c r="AV879" s="26"/>
      <c r="AW879" s="26"/>
      <c r="AX879" s="26"/>
    </row>
    <row r="880">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6"/>
      <c r="AX880" s="26"/>
    </row>
    <row r="88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row>
    <row r="88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row>
    <row r="883">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c r="AS883" s="26"/>
      <c r="AT883" s="26"/>
      <c r="AU883" s="26"/>
      <c r="AV883" s="26"/>
      <c r="AW883" s="26"/>
      <c r="AX883" s="26"/>
    </row>
    <row r="884">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row>
    <row r="88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26"/>
      <c r="AS885" s="26"/>
      <c r="AT885" s="26"/>
      <c r="AU885" s="26"/>
      <c r="AV885" s="26"/>
      <c r="AW885" s="26"/>
      <c r="AX885" s="26"/>
    </row>
    <row r="886">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6"/>
      <c r="AX886" s="26"/>
    </row>
    <row r="887">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c r="AQ887" s="26"/>
      <c r="AR887" s="26"/>
      <c r="AS887" s="26"/>
      <c r="AT887" s="26"/>
      <c r="AU887" s="26"/>
      <c r="AV887" s="26"/>
      <c r="AW887" s="26"/>
      <c r="AX887" s="26"/>
    </row>
    <row r="888">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6"/>
      <c r="AX888" s="26"/>
    </row>
    <row r="889">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c r="AS889" s="26"/>
      <c r="AT889" s="26"/>
      <c r="AU889" s="26"/>
      <c r="AV889" s="26"/>
      <c r="AW889" s="26"/>
      <c r="AX889" s="26"/>
    </row>
    <row r="890">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6"/>
      <c r="AX890" s="26"/>
    </row>
    <row r="89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c r="AS891" s="26"/>
      <c r="AT891" s="26"/>
      <c r="AU891" s="26"/>
      <c r="AV891" s="26"/>
      <c r="AW891" s="26"/>
      <c r="AX891" s="26"/>
    </row>
    <row r="89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row>
    <row r="893">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c r="AS893" s="26"/>
      <c r="AT893" s="26"/>
      <c r="AU893" s="26"/>
      <c r="AV893" s="26"/>
      <c r="AW893" s="26"/>
      <c r="AX893" s="26"/>
    </row>
    <row r="894">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6"/>
      <c r="AX894" s="26"/>
    </row>
    <row r="89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c r="AS895" s="26"/>
      <c r="AT895" s="26"/>
      <c r="AU895" s="26"/>
      <c r="AV895" s="26"/>
      <c r="AW895" s="26"/>
      <c r="AX895" s="26"/>
    </row>
    <row r="896">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6"/>
      <c r="AX896" s="26"/>
    </row>
    <row r="897">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c r="AW897" s="26"/>
      <c r="AX897" s="26"/>
    </row>
    <row r="898">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6"/>
      <c r="AX898" s="26"/>
    </row>
    <row r="899">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c r="AS899" s="26"/>
      <c r="AT899" s="26"/>
      <c r="AU899" s="26"/>
      <c r="AV899" s="26"/>
      <c r="AW899" s="26"/>
      <c r="AX899" s="26"/>
    </row>
    <row r="900">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6"/>
      <c r="AX900" s="26"/>
    </row>
    <row r="90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c r="AW901" s="26"/>
      <c r="AX901" s="26"/>
    </row>
    <row r="9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6"/>
      <c r="AX902" s="26"/>
    </row>
    <row r="903">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c r="AS903" s="26"/>
      <c r="AT903" s="26"/>
      <c r="AU903" s="26"/>
      <c r="AV903" s="26"/>
      <c r="AW903" s="26"/>
      <c r="AX903" s="26"/>
    </row>
    <row r="904">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26"/>
    </row>
    <row r="90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c r="AS905" s="26"/>
      <c r="AT905" s="26"/>
      <c r="AU905" s="26"/>
      <c r="AV905" s="26"/>
      <c r="AW905" s="26"/>
      <c r="AX905" s="26"/>
    </row>
    <row r="906">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row>
    <row r="907">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row>
    <row r="908">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row>
    <row r="909">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c r="AS909" s="26"/>
      <c r="AT909" s="26"/>
      <c r="AU909" s="26"/>
      <c r="AV909" s="26"/>
      <c r="AW909" s="26"/>
      <c r="AX909" s="26"/>
    </row>
    <row r="910">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row>
    <row r="91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row>
    <row r="91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c r="AW912" s="26"/>
      <c r="AX912" s="26"/>
    </row>
    <row r="913">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row>
    <row r="914">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c r="AW914" s="26"/>
      <c r="AX914" s="26"/>
    </row>
    <row r="91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c r="AQ915" s="26"/>
      <c r="AR915" s="26"/>
      <c r="AS915" s="26"/>
      <c r="AT915" s="26"/>
      <c r="AU915" s="26"/>
      <c r="AV915" s="26"/>
      <c r="AW915" s="26"/>
      <c r="AX915" s="26"/>
    </row>
    <row r="916">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c r="AW916" s="26"/>
      <c r="AX916" s="26"/>
    </row>
    <row r="917">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c r="AQ917" s="26"/>
      <c r="AR917" s="26"/>
      <c r="AS917" s="26"/>
      <c r="AT917" s="26"/>
      <c r="AU917" s="26"/>
      <c r="AV917" s="26"/>
      <c r="AW917" s="26"/>
      <c r="AX917" s="26"/>
    </row>
    <row r="918">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c r="AW918" s="26"/>
      <c r="AX918" s="26"/>
    </row>
    <row r="919">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c r="AQ919" s="26"/>
      <c r="AR919" s="26"/>
      <c r="AS919" s="26"/>
      <c r="AT919" s="26"/>
      <c r="AU919" s="26"/>
      <c r="AV919" s="26"/>
      <c r="AW919" s="26"/>
      <c r="AX919" s="26"/>
    </row>
    <row r="920">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c r="AW920" s="26"/>
      <c r="AX920" s="26"/>
    </row>
    <row r="92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c r="AS921" s="26"/>
      <c r="AT921" s="26"/>
      <c r="AU921" s="26"/>
      <c r="AV921" s="26"/>
      <c r="AW921" s="26"/>
      <c r="AX921" s="26"/>
    </row>
    <row r="92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row>
    <row r="923">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c r="AW923" s="26"/>
      <c r="AX923" s="26"/>
    </row>
    <row r="924">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6"/>
      <c r="AX924" s="26"/>
    </row>
    <row r="92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c r="AS925" s="26"/>
      <c r="AT925" s="26"/>
      <c r="AU925" s="26"/>
      <c r="AV925" s="26"/>
      <c r="AW925" s="26"/>
      <c r="AX925" s="26"/>
    </row>
    <row r="926">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6"/>
      <c r="AX926" s="26"/>
    </row>
    <row r="927">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6"/>
      <c r="AT927" s="26"/>
      <c r="AU927" s="26"/>
      <c r="AV927" s="26"/>
      <c r="AW927" s="26"/>
      <c r="AX927" s="26"/>
    </row>
    <row r="928">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row>
    <row r="929">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6"/>
      <c r="AT929" s="26"/>
      <c r="AU929" s="26"/>
      <c r="AV929" s="26"/>
      <c r="AW929" s="26"/>
      <c r="AX929" s="26"/>
    </row>
    <row r="930">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c r="AW930" s="26"/>
      <c r="AX930" s="26"/>
    </row>
    <row r="93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6"/>
      <c r="AT931" s="26"/>
      <c r="AU931" s="26"/>
      <c r="AV931" s="26"/>
      <c r="AW931" s="26"/>
      <c r="AX931" s="26"/>
    </row>
    <row r="93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row>
    <row r="933">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c r="AW933" s="26"/>
      <c r="AX933" s="26"/>
    </row>
    <row r="934">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6"/>
      <c r="AX934" s="26"/>
    </row>
    <row r="93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6"/>
      <c r="AT935" s="26"/>
      <c r="AU935" s="26"/>
      <c r="AV935" s="26"/>
      <c r="AW935" s="26"/>
      <c r="AX935" s="26"/>
    </row>
    <row r="936">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6"/>
      <c r="AX936" s="26"/>
    </row>
    <row r="937">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6"/>
      <c r="AT937" s="26"/>
      <c r="AU937" s="26"/>
      <c r="AV937" s="26"/>
      <c r="AW937" s="26"/>
      <c r="AX937" s="26"/>
    </row>
    <row r="938">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row>
    <row r="939">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row>
    <row r="940">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row>
    <row r="94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6"/>
      <c r="AT941" s="26"/>
      <c r="AU941" s="26"/>
      <c r="AV941" s="26"/>
      <c r="AW941" s="26"/>
      <c r="AX941" s="26"/>
    </row>
    <row r="94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row>
    <row r="943">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6"/>
      <c r="AT943" s="26"/>
      <c r="AU943" s="26"/>
      <c r="AV943" s="26"/>
      <c r="AW943" s="26"/>
      <c r="AX943" s="26"/>
    </row>
    <row r="944">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6"/>
      <c r="AX944" s="26"/>
    </row>
    <row r="94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6"/>
      <c r="AT945" s="26"/>
      <c r="AU945" s="26"/>
      <c r="AV945" s="26"/>
      <c r="AW945" s="26"/>
      <c r="AX945" s="26"/>
    </row>
    <row r="946">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6"/>
      <c r="AX946" s="26"/>
    </row>
    <row r="947">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6"/>
      <c r="AT947" s="26"/>
      <c r="AU947" s="26"/>
      <c r="AV947" s="26"/>
      <c r="AW947" s="26"/>
      <c r="AX947" s="26"/>
    </row>
    <row r="948">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row>
    <row r="949">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6"/>
      <c r="AT949" s="26"/>
      <c r="AU949" s="26"/>
      <c r="AV949" s="26"/>
      <c r="AW949" s="26"/>
      <c r="AX949" s="26"/>
    </row>
    <row r="950">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row>
    <row r="95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6"/>
      <c r="AT951" s="26"/>
      <c r="AU951" s="26"/>
      <c r="AV951" s="26"/>
      <c r="AW951" s="26"/>
      <c r="AX951" s="26"/>
    </row>
    <row r="95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row>
    <row r="953">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row>
    <row r="954">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row>
    <row r="95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c r="AW955" s="26"/>
      <c r="AX955" s="26"/>
    </row>
    <row r="956">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row>
    <row r="957">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6"/>
      <c r="AT957" s="26"/>
      <c r="AU957" s="26"/>
      <c r="AV957" s="26"/>
      <c r="AW957" s="26"/>
      <c r="AX957" s="26"/>
    </row>
    <row r="958">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6"/>
      <c r="AX958" s="26"/>
    </row>
    <row r="959">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6"/>
      <c r="AT959" s="26"/>
      <c r="AU959" s="26"/>
      <c r="AV959" s="26"/>
      <c r="AW959" s="26"/>
      <c r="AX959" s="26"/>
    </row>
    <row r="960">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6"/>
      <c r="AX960" s="26"/>
    </row>
    <row r="96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6"/>
      <c r="AT961" s="26"/>
      <c r="AU961" s="26"/>
      <c r="AV961" s="26"/>
      <c r="AW961" s="26"/>
      <c r="AX961" s="26"/>
    </row>
    <row r="96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6"/>
      <c r="AX962" s="26"/>
    </row>
    <row r="963">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row>
    <row r="964">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6"/>
      <c r="AX964" s="26"/>
    </row>
    <row r="96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row>
    <row r="966">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6"/>
      <c r="AX966" s="26"/>
    </row>
    <row r="967">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c r="AS967" s="26"/>
      <c r="AT967" s="26"/>
      <c r="AU967" s="26"/>
      <c r="AV967" s="26"/>
      <c r="AW967" s="26"/>
      <c r="AX967" s="26"/>
    </row>
    <row r="968">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row>
    <row r="969">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c r="AQ969" s="26"/>
      <c r="AR969" s="26"/>
      <c r="AS969" s="26"/>
      <c r="AT969" s="26"/>
      <c r="AU969" s="26"/>
      <c r="AV969" s="26"/>
      <c r="AW969" s="26"/>
      <c r="AX969" s="26"/>
    </row>
    <row r="970">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c r="AW970" s="26"/>
      <c r="AX970" s="26"/>
    </row>
    <row r="97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c r="AQ971" s="26"/>
      <c r="AR971" s="26"/>
      <c r="AS971" s="26"/>
      <c r="AT971" s="26"/>
      <c r="AU971" s="26"/>
      <c r="AV971" s="26"/>
      <c r="AW971" s="26"/>
      <c r="AX971" s="26"/>
    </row>
    <row r="97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c r="AW972" s="26"/>
      <c r="AX972" s="26"/>
    </row>
    <row r="973">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26"/>
      <c r="AV973" s="26"/>
      <c r="AW973" s="26"/>
      <c r="AX973" s="26"/>
    </row>
    <row r="974">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c r="AW974" s="26"/>
      <c r="AX974" s="26"/>
    </row>
    <row r="97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row>
    <row r="976">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row>
    <row r="977">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c r="AS977" s="26"/>
      <c r="AT977" s="26"/>
      <c r="AU977" s="26"/>
      <c r="AV977" s="26"/>
      <c r="AW977" s="26"/>
      <c r="AX977" s="26"/>
    </row>
    <row r="978">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row>
    <row r="979">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row>
    <row r="980">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row>
    <row r="98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c r="AW981" s="26"/>
      <c r="AX981" s="26"/>
    </row>
    <row r="98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row>
    <row r="983">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c r="AW983" s="26"/>
      <c r="AX983" s="26"/>
    </row>
    <row r="984">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6"/>
      <c r="AX984" s="26"/>
    </row>
    <row r="98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c r="AS985" s="26"/>
      <c r="AT985" s="26"/>
      <c r="AU985" s="26"/>
      <c r="AV985" s="26"/>
      <c r="AW985" s="26"/>
      <c r="AX985" s="26"/>
    </row>
    <row r="986">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row>
    <row r="987">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c r="AS987" s="26"/>
      <c r="AT987" s="26"/>
      <c r="AU987" s="26"/>
      <c r="AV987" s="26"/>
      <c r="AW987" s="26"/>
      <c r="AX987" s="26"/>
    </row>
    <row r="988">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c r="AW988" s="26"/>
      <c r="AX988" s="26"/>
    </row>
    <row r="989">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c r="AS989" s="26"/>
      <c r="AT989" s="26"/>
      <c r="AU989" s="26"/>
      <c r="AV989" s="26"/>
      <c r="AW989" s="26"/>
      <c r="AX989" s="26"/>
    </row>
    <row r="990">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c r="AW990" s="26"/>
      <c r="AX990" s="26"/>
    </row>
    <row r="99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c r="AQ991" s="26"/>
      <c r="AR991" s="26"/>
      <c r="AS991" s="26"/>
      <c r="AT991" s="26"/>
      <c r="AU991" s="26"/>
      <c r="AV991" s="26"/>
      <c r="AW991" s="26"/>
      <c r="AX991" s="26"/>
    </row>
    <row r="99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6"/>
      <c r="AX992" s="26"/>
    </row>
    <row r="993">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c r="AQ993" s="26"/>
      <c r="AR993" s="26"/>
      <c r="AS993" s="26"/>
      <c r="AT993" s="26"/>
      <c r="AU993" s="26"/>
      <c r="AV993" s="26"/>
      <c r="AW993" s="26"/>
      <c r="AX993" s="26"/>
    </row>
    <row r="994">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6"/>
      <c r="AX994" s="26"/>
    </row>
    <row r="99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c r="AQ995" s="26"/>
      <c r="AR995" s="26"/>
      <c r="AS995" s="26"/>
      <c r="AT995" s="26"/>
      <c r="AU995" s="26"/>
      <c r="AV995" s="26"/>
      <c r="AW995" s="26"/>
      <c r="AX995" s="26"/>
    </row>
    <row r="996">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6"/>
      <c r="AX996" s="26"/>
    </row>
    <row r="997">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row>
    <row r="998">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row>
    <row r="999">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c r="AQ999" s="26"/>
      <c r="AR999" s="26"/>
      <c r="AS999" s="26"/>
      <c r="AT999" s="26"/>
      <c r="AU999" s="26"/>
      <c r="AV999" s="26"/>
      <c r="AW999" s="26"/>
      <c r="AX999" s="26"/>
    </row>
    <row r="1000">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c r="AQ1000" s="26"/>
      <c r="AR1000" s="26"/>
      <c r="AS1000" s="26"/>
      <c r="AT1000" s="26"/>
      <c r="AU1000" s="26"/>
      <c r="AV1000" s="26"/>
      <c r="AW1000" s="26"/>
      <c r="AX1000" s="26"/>
    </row>
  </sheetData>
  <mergeCells count="8">
    <mergeCell ref="A1:AV1"/>
    <mergeCell ref="A3:B3"/>
    <mergeCell ref="A24:C24"/>
    <mergeCell ref="B25:C25"/>
    <mergeCell ref="B26:C26"/>
    <mergeCell ref="B27:C27"/>
    <mergeCell ref="B28:C28"/>
    <mergeCell ref="A30:B30"/>
  </mergeCells>
  <hyperlinks>
    <hyperlink r:id="rId1" ref="A1"/>
    <hyperlink r:id="rId2" ref="H3"/>
    <hyperlink r:id="rId3" ref="H24"/>
    <hyperlink r:id="rId4" ref="H31"/>
    <hyperlink r:id="rId5" ref="H32"/>
  </hyperlinks>
  <drawing r:id="rId6"/>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3.25"/>
    <col customWidth="1" min="2" max="2" width="4.88"/>
    <col customWidth="1" min="3" max="3" width="17.88"/>
    <col customWidth="1" min="4" max="4" width="21.0"/>
    <col customWidth="1" min="5" max="5" width="43.13"/>
    <col customWidth="1" min="6" max="6" width="37.38"/>
    <col customWidth="1" min="7" max="7" width="14.38"/>
    <col customWidth="1" min="8" max="8" width="25.0"/>
    <col customWidth="1" min="9" max="9" width="75.13"/>
    <col customWidth="1" min="10" max="10" width="23.38"/>
    <col customWidth="1" min="11" max="11" width="32.0"/>
    <col customWidth="1" min="12" max="12" width="18.38"/>
    <col customWidth="1" min="13" max="13" width="14.25"/>
    <col customWidth="1" min="14" max="14" width="5.13"/>
    <col customWidth="1" min="15" max="15" width="25.0"/>
    <col customWidth="1" min="16" max="16" width="27.63"/>
    <col customWidth="1" min="17" max="17" width="17.25"/>
    <col customWidth="1" min="18" max="18" width="15.25"/>
    <col customWidth="1" min="19" max="19" width="16.88"/>
    <col customWidth="1" min="20" max="20" width="40.13"/>
    <col customWidth="1" min="21" max="21" width="17.25"/>
    <col customWidth="1" min="22" max="22" width="8.88"/>
  </cols>
  <sheetData>
    <row r="1">
      <c r="A1" s="14" t="s">
        <v>493</v>
      </c>
      <c r="B1" s="15"/>
      <c r="C1" s="15"/>
      <c r="D1" s="15"/>
      <c r="E1" s="15"/>
      <c r="F1" s="15"/>
      <c r="G1" s="15"/>
      <c r="H1" s="15"/>
      <c r="I1" s="15"/>
      <c r="J1" s="15"/>
      <c r="K1" s="15"/>
      <c r="L1" s="15"/>
      <c r="M1" s="15"/>
      <c r="N1" s="15"/>
      <c r="O1" s="15"/>
      <c r="P1" s="15"/>
      <c r="Q1" s="15"/>
      <c r="R1" s="15"/>
      <c r="S1" s="15"/>
      <c r="T1" s="15"/>
      <c r="U1" s="15"/>
      <c r="V1" s="16"/>
    </row>
    <row r="2">
      <c r="A2" s="248"/>
      <c r="B2" s="248"/>
      <c r="C2" s="248"/>
      <c r="D2" s="248"/>
      <c r="E2" s="248"/>
      <c r="F2" s="248"/>
      <c r="G2" s="248"/>
      <c r="H2" s="248"/>
      <c r="I2" s="248"/>
      <c r="J2" s="248"/>
      <c r="K2" s="248"/>
      <c r="L2" s="248"/>
      <c r="M2" s="249"/>
      <c r="N2" s="249"/>
      <c r="O2" s="249"/>
      <c r="P2" s="249"/>
      <c r="Q2" s="249"/>
      <c r="R2" s="249"/>
      <c r="S2" s="249"/>
      <c r="T2" s="249"/>
      <c r="U2" s="249"/>
      <c r="V2" s="249"/>
    </row>
    <row r="3">
      <c r="A3" s="248"/>
      <c r="B3" s="248"/>
      <c r="C3" s="248"/>
      <c r="D3" s="248"/>
      <c r="E3" s="248"/>
      <c r="F3" s="248"/>
      <c r="G3" s="248"/>
      <c r="H3" s="248"/>
      <c r="I3" s="248"/>
      <c r="J3" s="248"/>
      <c r="K3" s="248"/>
      <c r="L3" s="248"/>
      <c r="M3" s="249"/>
      <c r="N3" s="249"/>
      <c r="O3" s="249"/>
      <c r="P3" s="249"/>
      <c r="Q3" s="249"/>
      <c r="R3" s="249"/>
      <c r="S3" s="249"/>
      <c r="T3" s="249"/>
      <c r="U3" s="249"/>
      <c r="V3" s="249"/>
    </row>
    <row r="4">
      <c r="A4" s="250" t="s">
        <v>115</v>
      </c>
      <c r="C4" s="248"/>
      <c r="D4" s="248"/>
      <c r="E4" s="248"/>
      <c r="F4" s="248"/>
      <c r="G4" s="248"/>
      <c r="H4" s="248"/>
      <c r="I4" s="248"/>
      <c r="J4" s="248"/>
      <c r="K4" s="248"/>
      <c r="L4" s="248"/>
      <c r="M4" s="249"/>
      <c r="N4" s="249"/>
      <c r="O4" s="249"/>
      <c r="P4" s="249"/>
      <c r="Q4" s="249"/>
      <c r="R4" s="249"/>
      <c r="S4" s="249"/>
      <c r="T4" s="249"/>
      <c r="U4" s="249"/>
      <c r="V4" s="249"/>
    </row>
    <row r="5">
      <c r="A5" s="30" t="s">
        <v>494</v>
      </c>
      <c r="B5" s="251"/>
      <c r="C5" s="251"/>
      <c r="D5" s="248"/>
      <c r="E5" s="248"/>
      <c r="F5" s="248"/>
      <c r="G5" s="248"/>
      <c r="H5" s="248"/>
      <c r="I5" s="248"/>
      <c r="J5" s="248"/>
      <c r="K5" s="248"/>
      <c r="L5" s="248"/>
      <c r="M5" s="249"/>
      <c r="N5" s="249"/>
      <c r="O5" s="249"/>
      <c r="P5" s="249"/>
      <c r="Q5" s="249"/>
      <c r="R5" s="249"/>
      <c r="S5" s="249"/>
      <c r="T5" s="249"/>
      <c r="U5" s="249"/>
      <c r="V5" s="249"/>
    </row>
    <row r="6">
      <c r="A6" s="248"/>
      <c r="B6" s="248"/>
      <c r="C6" s="248"/>
      <c r="D6" s="248"/>
      <c r="E6" s="248"/>
      <c r="F6" s="248"/>
      <c r="G6" s="248"/>
      <c r="H6" s="248"/>
      <c r="I6" s="248"/>
      <c r="J6" s="248"/>
      <c r="K6" s="248"/>
      <c r="L6" s="248"/>
      <c r="M6" s="249"/>
      <c r="N6" s="249"/>
      <c r="O6" s="249"/>
      <c r="P6" s="249"/>
      <c r="Q6" s="249"/>
      <c r="R6" s="249"/>
      <c r="S6" s="249"/>
      <c r="T6" s="249"/>
      <c r="U6" s="249"/>
      <c r="V6" s="249"/>
    </row>
    <row r="7">
      <c r="A7" s="250" t="s">
        <v>495</v>
      </c>
      <c r="B7" s="248"/>
      <c r="C7" s="248"/>
      <c r="D7" s="248"/>
      <c r="E7" s="248"/>
      <c r="F7" s="248"/>
      <c r="G7" s="248"/>
      <c r="H7" s="248"/>
      <c r="I7" s="248"/>
      <c r="J7" s="248"/>
      <c r="K7" s="248"/>
      <c r="L7" s="248"/>
      <c r="M7" s="249"/>
      <c r="N7" s="249"/>
      <c r="O7" s="249"/>
      <c r="P7" s="249"/>
      <c r="Q7" s="249"/>
      <c r="R7" s="249"/>
      <c r="S7" s="249"/>
      <c r="T7" s="249"/>
      <c r="U7" s="249"/>
      <c r="V7" s="249"/>
    </row>
    <row r="8">
      <c r="A8" s="248"/>
      <c r="B8" s="248"/>
      <c r="C8" s="248"/>
      <c r="D8" s="248"/>
      <c r="E8" s="248"/>
      <c r="F8" s="248"/>
      <c r="G8" s="248"/>
      <c r="H8" s="248"/>
      <c r="I8" s="248"/>
      <c r="J8" s="248"/>
      <c r="K8" s="248"/>
      <c r="L8" s="248"/>
      <c r="M8" s="249"/>
      <c r="N8" s="249"/>
      <c r="O8" s="249"/>
      <c r="P8" s="249"/>
      <c r="Q8" s="249"/>
      <c r="R8" s="249"/>
      <c r="S8" s="249"/>
      <c r="T8" s="249"/>
      <c r="U8" s="249"/>
      <c r="V8" s="249"/>
    </row>
    <row r="9">
      <c r="A9" s="252" t="s">
        <v>496</v>
      </c>
      <c r="B9" s="253" t="s">
        <v>497</v>
      </c>
      <c r="C9" s="253" t="s">
        <v>498</v>
      </c>
      <c r="D9" s="253" t="s">
        <v>499</v>
      </c>
      <c r="E9" s="253" t="s">
        <v>500</v>
      </c>
      <c r="F9" s="253" t="s">
        <v>501</v>
      </c>
      <c r="G9" s="253" t="s">
        <v>502</v>
      </c>
      <c r="H9" s="253" t="s">
        <v>503</v>
      </c>
      <c r="I9" s="253" t="s">
        <v>504</v>
      </c>
      <c r="J9" s="253" t="s">
        <v>505</v>
      </c>
      <c r="K9" s="253" t="s">
        <v>506</v>
      </c>
      <c r="L9" s="254" t="s">
        <v>507</v>
      </c>
      <c r="M9" s="249"/>
      <c r="N9" s="252" t="s">
        <v>345</v>
      </c>
      <c r="O9" s="253" t="s">
        <v>507</v>
      </c>
      <c r="P9" s="253" t="s">
        <v>508</v>
      </c>
      <c r="Q9" s="254" t="s">
        <v>376</v>
      </c>
      <c r="S9" s="252" t="s">
        <v>345</v>
      </c>
      <c r="T9" s="253" t="s">
        <v>507</v>
      </c>
      <c r="U9" s="253" t="s">
        <v>508</v>
      </c>
      <c r="V9" s="254" t="s">
        <v>376</v>
      </c>
    </row>
    <row r="10">
      <c r="A10" s="255" t="s">
        <v>509</v>
      </c>
      <c r="B10" s="248" t="s">
        <v>510</v>
      </c>
      <c r="C10" s="248" t="s">
        <v>511</v>
      </c>
      <c r="D10" s="248" t="s">
        <v>512</v>
      </c>
      <c r="E10" s="248">
        <v>5205.0</v>
      </c>
      <c r="F10" s="256">
        <v>45547.0</v>
      </c>
      <c r="G10" s="248">
        <v>2024.0</v>
      </c>
      <c r="H10" s="248" t="s">
        <v>513</v>
      </c>
      <c r="I10" s="248" t="s">
        <v>514</v>
      </c>
      <c r="J10" s="248" t="s">
        <v>297</v>
      </c>
      <c r="K10" s="249" t="s">
        <v>515</v>
      </c>
      <c r="L10" s="257" t="s">
        <v>516</v>
      </c>
      <c r="M10" s="249"/>
      <c r="N10" s="42">
        <v>2024.0</v>
      </c>
      <c r="O10" s="258" t="s">
        <v>516</v>
      </c>
      <c r="P10" s="258">
        <v>139.0</v>
      </c>
      <c r="Q10" s="259">
        <v>0.238013698630137</v>
      </c>
      <c r="S10" s="42">
        <v>2023.0</v>
      </c>
      <c r="T10" s="258" t="s">
        <v>516</v>
      </c>
      <c r="U10" s="258">
        <v>426.0</v>
      </c>
      <c r="V10" s="259">
        <v>0.684887459807074</v>
      </c>
    </row>
    <row r="11">
      <c r="A11" s="255" t="s">
        <v>517</v>
      </c>
      <c r="B11" s="248" t="s">
        <v>518</v>
      </c>
      <c r="C11" s="248" t="s">
        <v>519</v>
      </c>
      <c r="D11" s="248" t="s">
        <v>520</v>
      </c>
      <c r="E11" s="248">
        <v>6228.0</v>
      </c>
      <c r="F11" s="256">
        <v>45532.0</v>
      </c>
      <c r="G11" s="248">
        <v>2024.0</v>
      </c>
      <c r="H11" s="248" t="s">
        <v>513</v>
      </c>
      <c r="I11" s="248" t="s">
        <v>521</v>
      </c>
      <c r="J11" s="248" t="s">
        <v>309</v>
      </c>
      <c r="K11" s="249" t="s">
        <v>522</v>
      </c>
      <c r="L11" s="257" t="s">
        <v>516</v>
      </c>
      <c r="M11" s="249"/>
      <c r="N11" s="42">
        <v>2024.0</v>
      </c>
      <c r="O11" s="258" t="s">
        <v>523</v>
      </c>
      <c r="P11" s="258">
        <v>445.0</v>
      </c>
      <c r="Q11" s="259">
        <v>0.761986301369863</v>
      </c>
      <c r="S11" s="42">
        <v>2023.0</v>
      </c>
      <c r="T11" s="258" t="s">
        <v>523</v>
      </c>
      <c r="U11" s="258">
        <v>196.0</v>
      </c>
      <c r="V11" s="259">
        <v>0.31511254019292606</v>
      </c>
    </row>
    <row r="12">
      <c r="A12" s="255" t="s">
        <v>524</v>
      </c>
      <c r="B12" s="248" t="s">
        <v>525</v>
      </c>
      <c r="C12" s="248" t="s">
        <v>526</v>
      </c>
      <c r="D12" s="248" t="s">
        <v>512</v>
      </c>
      <c r="E12" s="248">
        <v>26429.0</v>
      </c>
      <c r="F12" s="256">
        <v>45527.0</v>
      </c>
      <c r="G12" s="248">
        <v>2024.0</v>
      </c>
      <c r="H12" s="248" t="s">
        <v>513</v>
      </c>
      <c r="I12" s="248" t="s">
        <v>514</v>
      </c>
      <c r="J12" s="248" t="s">
        <v>297</v>
      </c>
      <c r="K12" s="249" t="s">
        <v>527</v>
      </c>
      <c r="L12" s="257" t="s">
        <v>516</v>
      </c>
      <c r="M12" s="249"/>
      <c r="N12" s="112">
        <v>2024.0</v>
      </c>
      <c r="O12" s="133" t="s">
        <v>528</v>
      </c>
      <c r="P12" s="133">
        <v>584.0</v>
      </c>
      <c r="Q12" s="260">
        <v>1.0</v>
      </c>
      <c r="S12" s="112">
        <v>2023.0</v>
      </c>
      <c r="T12" s="133" t="s">
        <v>528</v>
      </c>
      <c r="U12" s="133">
        <v>622.0</v>
      </c>
      <c r="V12" s="260">
        <v>1.0</v>
      </c>
    </row>
    <row r="13">
      <c r="A13" s="255" t="s">
        <v>529</v>
      </c>
      <c r="B13" s="248" t="s">
        <v>530</v>
      </c>
      <c r="C13" s="248" t="s">
        <v>531</v>
      </c>
      <c r="D13" s="248" t="s">
        <v>512</v>
      </c>
      <c r="E13" s="248">
        <v>3785.0</v>
      </c>
      <c r="F13" s="256">
        <v>45520.0</v>
      </c>
      <c r="G13" s="248">
        <v>2024.0</v>
      </c>
      <c r="H13" s="248" t="s">
        <v>513</v>
      </c>
      <c r="I13" s="248" t="s">
        <v>514</v>
      </c>
      <c r="J13" s="248" t="s">
        <v>297</v>
      </c>
      <c r="K13" s="249" t="s">
        <v>532</v>
      </c>
      <c r="L13" s="257" t="s">
        <v>516</v>
      </c>
      <c r="M13" s="249"/>
    </row>
    <row r="14">
      <c r="A14" s="255" t="s">
        <v>533</v>
      </c>
      <c r="B14" s="248" t="s">
        <v>534</v>
      </c>
      <c r="C14" s="248" t="s">
        <v>535</v>
      </c>
      <c r="D14" s="248" t="s">
        <v>512</v>
      </c>
      <c r="E14" s="248">
        <v>1123.0</v>
      </c>
      <c r="F14" s="256">
        <v>45517.0</v>
      </c>
      <c r="G14" s="248">
        <v>2024.0</v>
      </c>
      <c r="H14" s="248" t="s">
        <v>513</v>
      </c>
      <c r="I14" s="248" t="s">
        <v>521</v>
      </c>
      <c r="J14" s="248" t="s">
        <v>297</v>
      </c>
      <c r="K14" s="249" t="s">
        <v>536</v>
      </c>
      <c r="L14" s="257" t="s">
        <v>516</v>
      </c>
      <c r="M14" s="249"/>
    </row>
    <row r="15">
      <c r="A15" s="255" t="s">
        <v>537</v>
      </c>
      <c r="B15" s="248" t="s">
        <v>538</v>
      </c>
      <c r="C15" s="248" t="s">
        <v>539</v>
      </c>
      <c r="D15" s="248" t="s">
        <v>512</v>
      </c>
      <c r="E15" s="248">
        <v>5500.0</v>
      </c>
      <c r="F15" s="256">
        <v>45516.0</v>
      </c>
      <c r="G15" s="248">
        <v>2024.0</v>
      </c>
      <c r="H15" s="248" t="s">
        <v>513</v>
      </c>
      <c r="I15" s="248" t="s">
        <v>514</v>
      </c>
      <c r="J15" s="248" t="s">
        <v>297</v>
      </c>
      <c r="K15" s="249" t="s">
        <v>540</v>
      </c>
      <c r="L15" s="257" t="s">
        <v>516</v>
      </c>
      <c r="M15" s="249"/>
      <c r="N15" s="252" t="s">
        <v>345</v>
      </c>
      <c r="O15" s="261" t="s">
        <v>503</v>
      </c>
      <c r="P15" s="253" t="s">
        <v>508</v>
      </c>
      <c r="Q15" s="254" t="s">
        <v>376</v>
      </c>
      <c r="R15" s="249"/>
      <c r="S15" s="252" t="s">
        <v>345</v>
      </c>
      <c r="T15" s="261" t="s">
        <v>503</v>
      </c>
      <c r="U15" s="253" t="s">
        <v>508</v>
      </c>
      <c r="V15" s="254" t="s">
        <v>376</v>
      </c>
    </row>
    <row r="16">
      <c r="A16" s="255" t="s">
        <v>541</v>
      </c>
      <c r="B16" s="248" t="s">
        <v>542</v>
      </c>
      <c r="C16" s="248" t="s">
        <v>543</v>
      </c>
      <c r="D16" s="248" t="s">
        <v>512</v>
      </c>
      <c r="E16" s="248">
        <v>3359.0</v>
      </c>
      <c r="F16" s="256">
        <v>45506.0</v>
      </c>
      <c r="G16" s="248">
        <v>2024.0</v>
      </c>
      <c r="H16" s="248" t="s">
        <v>513</v>
      </c>
      <c r="I16" s="248" t="s">
        <v>521</v>
      </c>
      <c r="J16" s="248" t="s">
        <v>297</v>
      </c>
      <c r="K16" s="249" t="s">
        <v>544</v>
      </c>
      <c r="L16" s="257" t="s">
        <v>516</v>
      </c>
      <c r="M16" s="249"/>
      <c r="N16" s="255">
        <v>2024.0</v>
      </c>
      <c r="O16" s="249" t="s">
        <v>513</v>
      </c>
      <c r="P16" s="249">
        <v>484.0</v>
      </c>
      <c r="Q16" s="262">
        <v>0.8287671232876712</v>
      </c>
      <c r="R16" s="249"/>
      <c r="S16" s="255">
        <v>2023.0</v>
      </c>
      <c r="T16" s="249" t="s">
        <v>513</v>
      </c>
      <c r="U16" s="249">
        <v>520.0</v>
      </c>
      <c r="V16" s="262">
        <v>0.8360128617363344</v>
      </c>
    </row>
    <row r="17">
      <c r="A17" s="255" t="s">
        <v>545</v>
      </c>
      <c r="B17" s="248" t="s">
        <v>525</v>
      </c>
      <c r="C17" s="248" t="s">
        <v>526</v>
      </c>
      <c r="D17" s="248" t="s">
        <v>512</v>
      </c>
      <c r="E17" s="248">
        <v>1166.0</v>
      </c>
      <c r="F17" s="256">
        <v>45505.0</v>
      </c>
      <c r="G17" s="248">
        <v>2024.0</v>
      </c>
      <c r="H17" s="248" t="s">
        <v>546</v>
      </c>
      <c r="I17" s="248" t="s">
        <v>547</v>
      </c>
      <c r="J17" s="248" t="s">
        <v>309</v>
      </c>
      <c r="K17" s="249" t="s">
        <v>548</v>
      </c>
      <c r="L17" s="257" t="s">
        <v>516</v>
      </c>
      <c r="M17" s="249"/>
      <c r="N17" s="255">
        <v>2024.0</v>
      </c>
      <c r="O17" s="249" t="s">
        <v>546</v>
      </c>
      <c r="P17" s="249">
        <v>85.0</v>
      </c>
      <c r="Q17" s="262">
        <v>0.14554794520547945</v>
      </c>
      <c r="R17" s="249"/>
      <c r="S17" s="255">
        <v>2023.0</v>
      </c>
      <c r="T17" s="249" t="s">
        <v>546</v>
      </c>
      <c r="U17" s="249">
        <v>87.0</v>
      </c>
      <c r="V17" s="262">
        <v>0.13987138263665594</v>
      </c>
    </row>
    <row r="18">
      <c r="A18" s="255" t="s">
        <v>549</v>
      </c>
      <c r="B18" s="248" t="s">
        <v>530</v>
      </c>
      <c r="C18" s="248" t="s">
        <v>531</v>
      </c>
      <c r="D18" s="248" t="s">
        <v>520</v>
      </c>
      <c r="E18" s="248">
        <v>16378.0</v>
      </c>
      <c r="F18" s="256">
        <v>45495.0</v>
      </c>
      <c r="G18" s="248">
        <v>2024.0</v>
      </c>
      <c r="H18" s="248" t="s">
        <v>513</v>
      </c>
      <c r="I18" s="248" t="s">
        <v>521</v>
      </c>
      <c r="J18" s="248" t="s">
        <v>309</v>
      </c>
      <c r="K18" s="249" t="s">
        <v>550</v>
      </c>
      <c r="L18" s="257" t="s">
        <v>516</v>
      </c>
      <c r="M18" s="249"/>
      <c r="N18" s="255">
        <v>2024.0</v>
      </c>
      <c r="O18" s="249" t="s">
        <v>551</v>
      </c>
      <c r="P18" s="249">
        <v>10.0</v>
      </c>
      <c r="Q18" s="262">
        <v>0.017123287671232876</v>
      </c>
      <c r="R18" s="249"/>
      <c r="S18" s="255">
        <v>2023.0</v>
      </c>
      <c r="T18" s="249" t="s">
        <v>551</v>
      </c>
      <c r="U18" s="249">
        <v>8.0</v>
      </c>
      <c r="V18" s="262">
        <v>0.012861736334405145</v>
      </c>
    </row>
    <row r="19">
      <c r="A19" s="255" t="s">
        <v>552</v>
      </c>
      <c r="B19" s="248" t="s">
        <v>553</v>
      </c>
      <c r="C19" s="248" t="s">
        <v>554</v>
      </c>
      <c r="D19" s="248" t="s">
        <v>512</v>
      </c>
      <c r="E19" s="248">
        <v>375436.0</v>
      </c>
      <c r="F19" s="256">
        <v>45492.0</v>
      </c>
      <c r="G19" s="248">
        <v>2024.0</v>
      </c>
      <c r="H19" s="248" t="s">
        <v>513</v>
      </c>
      <c r="I19" s="248" t="s">
        <v>514</v>
      </c>
      <c r="J19" s="248" t="s">
        <v>297</v>
      </c>
      <c r="K19" s="249" t="s">
        <v>555</v>
      </c>
      <c r="L19" s="257" t="s">
        <v>516</v>
      </c>
      <c r="M19" s="249"/>
      <c r="N19" s="255">
        <v>2024.0</v>
      </c>
      <c r="O19" s="249" t="s">
        <v>556</v>
      </c>
      <c r="P19" s="249">
        <v>3.0</v>
      </c>
      <c r="Q19" s="262">
        <v>0.005136986301369863</v>
      </c>
      <c r="R19" s="249"/>
      <c r="S19" s="255">
        <v>2023.0</v>
      </c>
      <c r="T19" s="249" t="s">
        <v>556</v>
      </c>
      <c r="U19" s="249">
        <v>4.0</v>
      </c>
      <c r="V19" s="262">
        <v>0.006430868167202572</v>
      </c>
    </row>
    <row r="20">
      <c r="A20" s="255" t="s">
        <v>557</v>
      </c>
      <c r="B20" s="248" t="s">
        <v>510</v>
      </c>
      <c r="C20" s="248" t="s">
        <v>511</v>
      </c>
      <c r="D20" s="248" t="s">
        <v>512</v>
      </c>
      <c r="E20" s="248">
        <v>136724.0</v>
      </c>
      <c r="F20" s="256">
        <v>45492.0</v>
      </c>
      <c r="G20" s="248">
        <v>2024.0</v>
      </c>
      <c r="H20" s="248" t="s">
        <v>513</v>
      </c>
      <c r="I20" s="248" t="s">
        <v>514</v>
      </c>
      <c r="J20" s="248" t="s">
        <v>297</v>
      </c>
      <c r="K20" s="249" t="s">
        <v>558</v>
      </c>
      <c r="L20" s="257" t="s">
        <v>516</v>
      </c>
      <c r="M20" s="249"/>
      <c r="N20" s="255">
        <v>2024.0</v>
      </c>
      <c r="O20" s="249" t="s">
        <v>559</v>
      </c>
      <c r="P20" s="249">
        <v>2.0</v>
      </c>
      <c r="Q20" s="262">
        <v>0.003424657534246575</v>
      </c>
      <c r="R20" s="249"/>
      <c r="S20" s="255">
        <v>2023.0</v>
      </c>
      <c r="T20" s="249" t="s">
        <v>559</v>
      </c>
      <c r="U20" s="249">
        <v>3.0</v>
      </c>
      <c r="V20" s="262">
        <v>0.00482315112540193</v>
      </c>
    </row>
    <row r="21">
      <c r="A21" s="255" t="s">
        <v>560</v>
      </c>
      <c r="B21" s="248" t="s">
        <v>530</v>
      </c>
      <c r="C21" s="248" t="s">
        <v>531</v>
      </c>
      <c r="D21" s="248" t="s">
        <v>512</v>
      </c>
      <c r="E21" s="248">
        <v>3435.0</v>
      </c>
      <c r="F21" s="256">
        <v>45488.0</v>
      </c>
      <c r="G21" s="248">
        <v>2024.0</v>
      </c>
      <c r="H21" s="248" t="s">
        <v>546</v>
      </c>
      <c r="I21" s="248" t="s">
        <v>561</v>
      </c>
      <c r="J21" s="248" t="s">
        <v>297</v>
      </c>
      <c r="K21" s="249" t="s">
        <v>562</v>
      </c>
      <c r="L21" s="257" t="s">
        <v>516</v>
      </c>
      <c r="M21" s="249"/>
      <c r="N21" s="252">
        <v>2024.0</v>
      </c>
      <c r="O21" s="261" t="s">
        <v>528</v>
      </c>
      <c r="P21" s="261">
        <v>584.0</v>
      </c>
      <c r="Q21" s="263">
        <v>1.0</v>
      </c>
      <c r="R21" s="249"/>
      <c r="S21" s="252">
        <v>2023.0</v>
      </c>
      <c r="T21" s="261" t="s">
        <v>528</v>
      </c>
      <c r="U21" s="261">
        <v>622.0</v>
      </c>
      <c r="V21" s="263">
        <v>1.0</v>
      </c>
    </row>
    <row r="22">
      <c r="A22" s="255" t="s">
        <v>563</v>
      </c>
      <c r="B22" s="248" t="s">
        <v>564</v>
      </c>
      <c r="C22" s="248" t="s">
        <v>565</v>
      </c>
      <c r="D22" s="248" t="s">
        <v>512</v>
      </c>
      <c r="E22" s="248">
        <v>10482.0</v>
      </c>
      <c r="F22" s="256">
        <v>45485.0</v>
      </c>
      <c r="G22" s="248">
        <v>2024.0</v>
      </c>
      <c r="H22" s="248" t="s">
        <v>546</v>
      </c>
      <c r="I22" s="248" t="s">
        <v>521</v>
      </c>
      <c r="J22" s="248" t="s">
        <v>297</v>
      </c>
      <c r="K22" s="249" t="s">
        <v>566</v>
      </c>
      <c r="L22" s="257" t="s">
        <v>516</v>
      </c>
      <c r="M22" s="249"/>
      <c r="N22" s="249"/>
      <c r="O22" s="249"/>
      <c r="P22" s="249"/>
      <c r="Q22" s="249"/>
      <c r="R22" s="249"/>
      <c r="S22" s="249"/>
      <c r="T22" s="249"/>
      <c r="U22" s="249"/>
      <c r="V22" s="249"/>
    </row>
    <row r="23">
      <c r="A23" s="255" t="s">
        <v>567</v>
      </c>
      <c r="B23" s="248" t="s">
        <v>525</v>
      </c>
      <c r="C23" s="248" t="s">
        <v>526</v>
      </c>
      <c r="D23" s="248" t="s">
        <v>512</v>
      </c>
      <c r="E23" s="248">
        <v>4373.0</v>
      </c>
      <c r="F23" s="256">
        <v>45484.0</v>
      </c>
      <c r="G23" s="248">
        <v>2024.0</v>
      </c>
      <c r="H23" s="248" t="s">
        <v>513</v>
      </c>
      <c r="I23" s="248" t="s">
        <v>514</v>
      </c>
      <c r="J23" s="248" t="s">
        <v>297</v>
      </c>
      <c r="K23" s="249" t="s">
        <v>568</v>
      </c>
      <c r="L23" s="257" t="s">
        <v>516</v>
      </c>
      <c r="M23" s="249"/>
      <c r="N23" s="249"/>
      <c r="O23" s="249"/>
      <c r="P23" s="249"/>
      <c r="Q23" s="249"/>
      <c r="R23" s="249"/>
      <c r="S23" s="249"/>
      <c r="T23" s="249"/>
      <c r="U23" s="249"/>
      <c r="V23" s="249"/>
    </row>
    <row r="24">
      <c r="A24" s="255" t="s">
        <v>569</v>
      </c>
      <c r="B24" s="248" t="s">
        <v>530</v>
      </c>
      <c r="C24" s="248" t="s">
        <v>531</v>
      </c>
      <c r="D24" s="248" t="s">
        <v>512</v>
      </c>
      <c r="E24" s="248">
        <v>26372.0</v>
      </c>
      <c r="F24" s="256">
        <v>45483.0</v>
      </c>
      <c r="G24" s="248">
        <v>2024.0</v>
      </c>
      <c r="H24" s="248" t="s">
        <v>546</v>
      </c>
      <c r="I24" s="248" t="s">
        <v>521</v>
      </c>
      <c r="J24" s="248" t="s">
        <v>297</v>
      </c>
      <c r="K24" s="249" t="s">
        <v>570</v>
      </c>
      <c r="L24" s="257" t="s">
        <v>516</v>
      </c>
      <c r="M24" s="249"/>
      <c r="N24" s="252" t="s">
        <v>345</v>
      </c>
      <c r="O24" s="261" t="s">
        <v>503</v>
      </c>
      <c r="P24" s="253" t="s">
        <v>571</v>
      </c>
      <c r="Q24" s="254" t="s">
        <v>376</v>
      </c>
      <c r="R24" s="249"/>
      <c r="S24" s="252" t="s">
        <v>345</v>
      </c>
      <c r="T24" s="261" t="s">
        <v>503</v>
      </c>
      <c r="U24" s="253" t="s">
        <v>571</v>
      </c>
      <c r="V24" s="254" t="s">
        <v>376</v>
      </c>
    </row>
    <row r="25">
      <c r="A25" s="255" t="s">
        <v>572</v>
      </c>
      <c r="B25" s="248" t="s">
        <v>573</v>
      </c>
      <c r="C25" s="248" t="s">
        <v>574</v>
      </c>
      <c r="D25" s="248" t="s">
        <v>575</v>
      </c>
      <c r="E25" s="248">
        <v>2184.0</v>
      </c>
      <c r="F25" s="256">
        <v>45476.0</v>
      </c>
      <c r="G25" s="248">
        <v>2024.0</v>
      </c>
      <c r="H25" s="248" t="s">
        <v>513</v>
      </c>
      <c r="I25" s="248" t="s">
        <v>521</v>
      </c>
      <c r="J25" s="248" t="s">
        <v>297</v>
      </c>
      <c r="K25" s="249" t="s">
        <v>576</v>
      </c>
      <c r="L25" s="257" t="s">
        <v>516</v>
      </c>
      <c r="M25" s="249"/>
      <c r="N25" s="255">
        <v>2024.0</v>
      </c>
      <c r="O25" s="249" t="s">
        <v>513</v>
      </c>
      <c r="P25" s="264">
        <v>1.69129215E8</v>
      </c>
      <c r="Q25" s="262">
        <v>0.9127314633352401</v>
      </c>
      <c r="R25" s="249"/>
      <c r="S25" s="255">
        <v>2023.0</v>
      </c>
      <c r="T25" s="249" t="s">
        <v>513</v>
      </c>
      <c r="U25" s="264">
        <v>1.59889278E8</v>
      </c>
      <c r="V25" s="262">
        <v>0.9496012241851726</v>
      </c>
    </row>
    <row r="26">
      <c r="A26" s="255" t="s">
        <v>577</v>
      </c>
      <c r="B26" s="248" t="s">
        <v>578</v>
      </c>
      <c r="C26" s="248" t="s">
        <v>579</v>
      </c>
      <c r="D26" s="248" t="s">
        <v>512</v>
      </c>
      <c r="E26" s="248">
        <v>24827.0</v>
      </c>
      <c r="F26" s="256">
        <v>45476.0</v>
      </c>
      <c r="G26" s="248">
        <v>2024.0</v>
      </c>
      <c r="H26" s="248" t="s">
        <v>513</v>
      </c>
      <c r="I26" s="248" t="s">
        <v>521</v>
      </c>
      <c r="J26" s="248" t="s">
        <v>297</v>
      </c>
      <c r="K26" s="249" t="s">
        <v>580</v>
      </c>
      <c r="L26" s="257" t="s">
        <v>516</v>
      </c>
      <c r="M26" s="249"/>
      <c r="N26" s="255">
        <v>2024.0</v>
      </c>
      <c r="O26" s="249" t="s">
        <v>546</v>
      </c>
      <c r="P26" s="264">
        <v>1.6078855E7</v>
      </c>
      <c r="Q26" s="262">
        <v>0.0867719799497984</v>
      </c>
      <c r="R26" s="249"/>
      <c r="S26" s="255">
        <v>2023.0</v>
      </c>
      <c r="T26" s="249" t="s">
        <v>546</v>
      </c>
      <c r="U26" s="264">
        <v>8409349.0</v>
      </c>
      <c r="V26" s="262">
        <v>0.04994411260647732</v>
      </c>
    </row>
    <row r="27">
      <c r="A27" s="255" t="s">
        <v>581</v>
      </c>
      <c r="B27" s="248" t="s">
        <v>582</v>
      </c>
      <c r="C27" s="248" t="s">
        <v>583</v>
      </c>
      <c r="D27" s="248" t="s">
        <v>575</v>
      </c>
      <c r="E27" s="248">
        <v>2823.0</v>
      </c>
      <c r="F27" s="256">
        <v>45474.0</v>
      </c>
      <c r="G27" s="248">
        <v>2024.0</v>
      </c>
      <c r="H27" s="248" t="s">
        <v>513</v>
      </c>
      <c r="I27" s="248" t="s">
        <v>514</v>
      </c>
      <c r="J27" s="248" t="s">
        <v>309</v>
      </c>
      <c r="K27" s="249" t="s">
        <v>584</v>
      </c>
      <c r="L27" s="257" t="s">
        <v>516</v>
      </c>
      <c r="M27" s="249"/>
      <c r="N27" s="255">
        <v>2024.0</v>
      </c>
      <c r="O27" s="249" t="s">
        <v>551</v>
      </c>
      <c r="P27" s="264">
        <v>75983.0</v>
      </c>
      <c r="Q27" s="262">
        <v>4.1005378508143347E-4</v>
      </c>
      <c r="R27" s="249"/>
      <c r="S27" s="255">
        <v>2023.0</v>
      </c>
      <c r="T27" s="249" t="s">
        <v>556</v>
      </c>
      <c r="U27" s="264">
        <v>38928.0</v>
      </c>
      <c r="V27" s="262">
        <v>2.3119796972927975E-4</v>
      </c>
    </row>
    <row r="28">
      <c r="A28" s="255" t="s">
        <v>585</v>
      </c>
      <c r="B28" s="248" t="s">
        <v>586</v>
      </c>
      <c r="C28" s="248" t="s">
        <v>587</v>
      </c>
      <c r="D28" s="248" t="s">
        <v>520</v>
      </c>
      <c r="E28" s="248">
        <v>13434.0</v>
      </c>
      <c r="F28" s="256">
        <v>45471.0</v>
      </c>
      <c r="G28" s="248">
        <v>2024.0</v>
      </c>
      <c r="H28" s="248" t="s">
        <v>513</v>
      </c>
      <c r="I28" s="248" t="s">
        <v>521</v>
      </c>
      <c r="J28" s="248" t="s">
        <v>309</v>
      </c>
      <c r="K28" s="249" t="s">
        <v>588</v>
      </c>
      <c r="L28" s="257" t="s">
        <v>516</v>
      </c>
      <c r="M28" s="249"/>
      <c r="N28" s="255">
        <v>2024.0</v>
      </c>
      <c r="O28" s="249" t="s">
        <v>559</v>
      </c>
      <c r="P28" s="264">
        <v>9241.0</v>
      </c>
      <c r="Q28" s="262">
        <v>4.9870458233256477E-5</v>
      </c>
      <c r="R28" s="249"/>
      <c r="S28" s="255">
        <v>2023.0</v>
      </c>
      <c r="T28" s="249" t="s">
        <v>551</v>
      </c>
      <c r="U28" s="264">
        <v>26342.0</v>
      </c>
      <c r="V28" s="262">
        <v>1.5644823568148087E-4</v>
      </c>
    </row>
    <row r="29">
      <c r="A29" s="255" t="s">
        <v>589</v>
      </c>
      <c r="B29" s="248" t="s">
        <v>590</v>
      </c>
      <c r="C29" s="248" t="s">
        <v>591</v>
      </c>
      <c r="D29" s="248" t="s">
        <v>575</v>
      </c>
      <c r="E29" s="248">
        <v>3659.0</v>
      </c>
      <c r="F29" s="256">
        <v>45471.0</v>
      </c>
      <c r="G29" s="248">
        <v>2024.0</v>
      </c>
      <c r="H29" s="248" t="s">
        <v>546</v>
      </c>
      <c r="I29" s="248" t="s">
        <v>592</v>
      </c>
      <c r="J29" s="248" t="s">
        <v>297</v>
      </c>
      <c r="K29" s="249" t="s">
        <v>593</v>
      </c>
      <c r="L29" s="257" t="s">
        <v>516</v>
      </c>
      <c r="M29" s="249"/>
      <c r="N29" s="255">
        <v>2024.0</v>
      </c>
      <c r="O29" s="249" t="s">
        <v>556</v>
      </c>
      <c r="P29" s="264">
        <v>6788.0</v>
      </c>
      <c r="Q29" s="262">
        <v>3.6632471646720585E-5</v>
      </c>
      <c r="R29" s="249"/>
      <c r="S29" s="255">
        <v>2023.0</v>
      </c>
      <c r="T29" s="249" t="s">
        <v>559</v>
      </c>
      <c r="U29" s="264">
        <v>11284.0</v>
      </c>
      <c r="V29" s="262">
        <v>6.701700293940589E-5</v>
      </c>
    </row>
    <row r="30">
      <c r="A30" s="255" t="s">
        <v>594</v>
      </c>
      <c r="B30" s="248" t="s">
        <v>595</v>
      </c>
      <c r="C30" s="248" t="s">
        <v>596</v>
      </c>
      <c r="D30" s="248" t="s">
        <v>512</v>
      </c>
      <c r="E30" s="248">
        <v>1296.0</v>
      </c>
      <c r="F30" s="256">
        <v>45470.0</v>
      </c>
      <c r="G30" s="248">
        <v>2024.0</v>
      </c>
      <c r="H30" s="248" t="s">
        <v>546</v>
      </c>
      <c r="I30" s="248" t="s">
        <v>561</v>
      </c>
      <c r="J30" s="248" t="s">
        <v>297</v>
      </c>
      <c r="K30" s="249" t="s">
        <v>597</v>
      </c>
      <c r="L30" s="257" t="s">
        <v>516</v>
      </c>
      <c r="M30" s="249"/>
      <c r="N30" s="252">
        <v>2024.0</v>
      </c>
      <c r="O30" s="261" t="s">
        <v>528</v>
      </c>
      <c r="P30" s="265">
        <v>1.85300082E8</v>
      </c>
      <c r="Q30" s="263">
        <v>1.0</v>
      </c>
      <c r="R30" s="249"/>
      <c r="S30" s="252">
        <v>2023.0</v>
      </c>
      <c r="T30" s="261" t="s">
        <v>528</v>
      </c>
      <c r="U30" s="265">
        <v>1.68375181E8</v>
      </c>
      <c r="V30" s="263">
        <v>1.0</v>
      </c>
    </row>
    <row r="31">
      <c r="A31" s="255" t="s">
        <v>598</v>
      </c>
      <c r="B31" s="248" t="s">
        <v>573</v>
      </c>
      <c r="C31" s="248" t="s">
        <v>574</v>
      </c>
      <c r="D31" s="248" t="s">
        <v>512</v>
      </c>
      <c r="E31" s="248">
        <v>12274.0</v>
      </c>
      <c r="F31" s="256">
        <v>45468.0</v>
      </c>
      <c r="G31" s="248">
        <v>2024.0</v>
      </c>
      <c r="H31" s="248" t="s">
        <v>513</v>
      </c>
      <c r="I31" s="248" t="s">
        <v>521</v>
      </c>
      <c r="J31" s="248" t="s">
        <v>297</v>
      </c>
      <c r="K31" s="249" t="s">
        <v>599</v>
      </c>
      <c r="L31" s="257" t="s">
        <v>516</v>
      </c>
      <c r="M31" s="249"/>
    </row>
    <row r="32">
      <c r="A32" s="255" t="s">
        <v>600</v>
      </c>
      <c r="B32" s="248" t="s">
        <v>573</v>
      </c>
      <c r="C32" s="248" t="s">
        <v>574</v>
      </c>
      <c r="D32" s="248" t="s">
        <v>512</v>
      </c>
      <c r="E32" s="248">
        <v>22139.0</v>
      </c>
      <c r="F32" s="256">
        <v>45468.0</v>
      </c>
      <c r="G32" s="248">
        <v>2024.0</v>
      </c>
      <c r="H32" s="248" t="s">
        <v>513</v>
      </c>
      <c r="I32" s="248" t="s">
        <v>521</v>
      </c>
      <c r="J32" s="248" t="s">
        <v>297</v>
      </c>
      <c r="K32" s="249" t="s">
        <v>601</v>
      </c>
      <c r="L32" s="257" t="s">
        <v>516</v>
      </c>
      <c r="M32" s="249"/>
    </row>
    <row r="33" ht="15.0" customHeight="1">
      <c r="A33" s="255" t="s">
        <v>602</v>
      </c>
      <c r="B33" s="248" t="s">
        <v>564</v>
      </c>
      <c r="C33" s="248" t="s">
        <v>565</v>
      </c>
      <c r="D33" s="248" t="s">
        <v>512</v>
      </c>
      <c r="E33" s="248">
        <v>1100.0</v>
      </c>
      <c r="F33" s="256">
        <v>45464.0</v>
      </c>
      <c r="G33" s="248">
        <v>2024.0</v>
      </c>
      <c r="H33" s="248" t="s">
        <v>513</v>
      </c>
      <c r="I33" s="248" t="s">
        <v>514</v>
      </c>
      <c r="J33" s="248" t="s">
        <v>297</v>
      </c>
      <c r="K33" s="249" t="s">
        <v>603</v>
      </c>
      <c r="L33" s="257" t="s">
        <v>516</v>
      </c>
      <c r="M33" s="249"/>
      <c r="N33" s="112" t="s">
        <v>345</v>
      </c>
      <c r="O33" s="261" t="s">
        <v>503</v>
      </c>
      <c r="P33" s="261" t="s">
        <v>504</v>
      </c>
      <c r="Q33" s="129" t="s">
        <v>508</v>
      </c>
      <c r="R33" s="254" t="s">
        <v>376</v>
      </c>
    </row>
    <row r="34">
      <c r="A34" s="255" t="s">
        <v>604</v>
      </c>
      <c r="B34" s="248" t="s">
        <v>573</v>
      </c>
      <c r="C34" s="248" t="s">
        <v>574</v>
      </c>
      <c r="D34" s="248" t="s">
        <v>512</v>
      </c>
      <c r="E34" s="248">
        <v>43773.0</v>
      </c>
      <c r="F34" s="256">
        <v>45464.0</v>
      </c>
      <c r="G34" s="248">
        <v>2024.0</v>
      </c>
      <c r="H34" s="248" t="s">
        <v>513</v>
      </c>
      <c r="I34" s="248" t="s">
        <v>514</v>
      </c>
      <c r="J34" s="248" t="s">
        <v>297</v>
      </c>
      <c r="K34" s="249" t="s">
        <v>605</v>
      </c>
      <c r="L34" s="257" t="s">
        <v>516</v>
      </c>
      <c r="M34" s="249"/>
      <c r="N34" s="255">
        <v>2024.0</v>
      </c>
      <c r="O34" s="249" t="s">
        <v>513</v>
      </c>
      <c r="P34" s="248" t="s">
        <v>514</v>
      </c>
      <c r="Q34" s="248">
        <v>372.0</v>
      </c>
      <c r="R34" s="122">
        <v>76.85950413223141</v>
      </c>
    </row>
    <row r="35">
      <c r="A35" s="255" t="s">
        <v>606</v>
      </c>
      <c r="B35" s="248" t="s">
        <v>607</v>
      </c>
      <c r="C35" s="248" t="s">
        <v>608</v>
      </c>
      <c r="D35" s="248" t="s">
        <v>512</v>
      </c>
      <c r="E35" s="248">
        <v>20577.0</v>
      </c>
      <c r="F35" s="256">
        <v>45456.0</v>
      </c>
      <c r="G35" s="248">
        <v>2024.0</v>
      </c>
      <c r="H35" s="248" t="s">
        <v>513</v>
      </c>
      <c r="I35" s="248" t="s">
        <v>514</v>
      </c>
      <c r="J35" s="248" t="s">
        <v>297</v>
      </c>
      <c r="K35" s="249" t="s">
        <v>609</v>
      </c>
      <c r="L35" s="257" t="s">
        <v>516</v>
      </c>
      <c r="M35" s="249"/>
      <c r="N35" s="255">
        <v>2024.0</v>
      </c>
      <c r="O35" s="249" t="s">
        <v>513</v>
      </c>
      <c r="P35" s="248" t="s">
        <v>521</v>
      </c>
      <c r="Q35" s="248">
        <v>104.0</v>
      </c>
      <c r="R35" s="122">
        <v>21.487603305785125</v>
      </c>
      <c r="T35" s="249"/>
      <c r="U35" s="249"/>
      <c r="V35" s="249"/>
    </row>
    <row r="36">
      <c r="A36" s="255" t="s">
        <v>610</v>
      </c>
      <c r="B36" s="248" t="s">
        <v>611</v>
      </c>
      <c r="C36" s="248" t="s">
        <v>612</v>
      </c>
      <c r="D36" s="248" t="s">
        <v>520</v>
      </c>
      <c r="E36" s="248">
        <v>8777.0</v>
      </c>
      <c r="F36" s="256">
        <v>45455.0</v>
      </c>
      <c r="G36" s="248">
        <v>2024.0</v>
      </c>
      <c r="H36" s="248" t="s">
        <v>513</v>
      </c>
      <c r="I36" s="248" t="s">
        <v>521</v>
      </c>
      <c r="J36" s="248" t="s">
        <v>309</v>
      </c>
      <c r="K36" s="249" t="s">
        <v>613</v>
      </c>
      <c r="L36" s="257" t="s">
        <v>516</v>
      </c>
      <c r="M36" s="249"/>
      <c r="N36" s="255">
        <v>2024.0</v>
      </c>
      <c r="O36" s="249" t="s">
        <v>513</v>
      </c>
      <c r="P36" s="248" t="s">
        <v>561</v>
      </c>
      <c r="Q36" s="248">
        <v>9.0</v>
      </c>
      <c r="R36" s="122">
        <v>1.859504132231405</v>
      </c>
      <c r="T36" s="249"/>
      <c r="U36" s="249"/>
      <c r="V36" s="249"/>
    </row>
    <row r="37">
      <c r="A37" s="255" t="s">
        <v>614</v>
      </c>
      <c r="B37" s="248" t="s">
        <v>590</v>
      </c>
      <c r="C37" s="248" t="s">
        <v>591</v>
      </c>
      <c r="D37" s="248" t="s">
        <v>512</v>
      </c>
      <c r="E37" s="248">
        <v>2739.0</v>
      </c>
      <c r="F37" s="256">
        <v>45453.0</v>
      </c>
      <c r="G37" s="248">
        <v>2024.0</v>
      </c>
      <c r="H37" s="248" t="s">
        <v>546</v>
      </c>
      <c r="I37" s="248" t="s">
        <v>514</v>
      </c>
      <c r="J37" s="248" t="s">
        <v>297</v>
      </c>
      <c r="K37" s="249" t="s">
        <v>615</v>
      </c>
      <c r="L37" s="257" t="s">
        <v>516</v>
      </c>
      <c r="M37" s="249"/>
      <c r="N37" s="255">
        <v>2024.0</v>
      </c>
      <c r="O37" s="249" t="s">
        <v>513</v>
      </c>
      <c r="P37" s="248" t="s">
        <v>592</v>
      </c>
      <c r="Q37" s="248">
        <v>5.0</v>
      </c>
      <c r="R37" s="122">
        <v>1.0330578512396693</v>
      </c>
      <c r="V37" s="266"/>
    </row>
    <row r="38">
      <c r="A38" s="255" t="s">
        <v>616</v>
      </c>
      <c r="B38" s="248" t="s">
        <v>530</v>
      </c>
      <c r="C38" s="248" t="s">
        <v>531</v>
      </c>
      <c r="D38" s="248" t="s">
        <v>512</v>
      </c>
      <c r="E38" s="248">
        <v>70802.0</v>
      </c>
      <c r="F38" s="256">
        <v>45443.0</v>
      </c>
      <c r="G38" s="248">
        <v>2024.0</v>
      </c>
      <c r="H38" s="248" t="s">
        <v>513</v>
      </c>
      <c r="I38" s="248" t="s">
        <v>514</v>
      </c>
      <c r="J38" s="248" t="s">
        <v>309</v>
      </c>
      <c r="K38" s="249" t="s">
        <v>617</v>
      </c>
      <c r="L38" s="257" t="s">
        <v>516</v>
      </c>
      <c r="M38" s="249"/>
      <c r="N38" s="255">
        <v>2024.0</v>
      </c>
      <c r="O38" s="249" t="s">
        <v>513</v>
      </c>
      <c r="P38" s="39" t="s">
        <v>618</v>
      </c>
      <c r="Q38" s="39">
        <v>4.0</v>
      </c>
      <c r="R38" s="122">
        <v>0.8264462809917356</v>
      </c>
      <c r="T38" s="249"/>
      <c r="U38" s="249"/>
      <c r="V38" s="249"/>
    </row>
    <row r="39">
      <c r="A39" s="255" t="s">
        <v>619</v>
      </c>
      <c r="B39" s="248" t="s">
        <v>542</v>
      </c>
      <c r="C39" s="248" t="s">
        <v>543</v>
      </c>
      <c r="D39" s="248" t="s">
        <v>512</v>
      </c>
      <c r="E39" s="248">
        <v>10772.0</v>
      </c>
      <c r="F39" s="256">
        <v>45441.0</v>
      </c>
      <c r="G39" s="248">
        <v>2024.0</v>
      </c>
      <c r="H39" s="248" t="s">
        <v>513</v>
      </c>
      <c r="I39" s="248" t="s">
        <v>514</v>
      </c>
      <c r="J39" s="248" t="s">
        <v>297</v>
      </c>
      <c r="K39" s="249" t="s">
        <v>66</v>
      </c>
      <c r="L39" s="257" t="s">
        <v>516</v>
      </c>
      <c r="M39" s="249"/>
      <c r="N39" s="255">
        <v>2024.0</v>
      </c>
      <c r="O39" s="249" t="s">
        <v>513</v>
      </c>
      <c r="P39" s="248" t="s">
        <v>620</v>
      </c>
      <c r="Q39" s="248">
        <v>2.0</v>
      </c>
      <c r="R39" s="122">
        <v>0.4132231404958678</v>
      </c>
      <c r="T39" s="249"/>
      <c r="U39" s="249"/>
      <c r="V39" s="249"/>
    </row>
    <row r="40">
      <c r="A40" s="255" t="s">
        <v>621</v>
      </c>
      <c r="B40" s="248" t="s">
        <v>573</v>
      </c>
      <c r="C40" s="248" t="s">
        <v>574</v>
      </c>
      <c r="D40" s="248" t="s">
        <v>512</v>
      </c>
      <c r="E40" s="248">
        <v>2089.0</v>
      </c>
      <c r="F40" s="256">
        <v>45441.0</v>
      </c>
      <c r="G40" s="248">
        <v>2024.0</v>
      </c>
      <c r="H40" s="248" t="s">
        <v>513</v>
      </c>
      <c r="I40" s="248" t="s">
        <v>521</v>
      </c>
      <c r="J40" s="248" t="s">
        <v>297</v>
      </c>
      <c r="K40" s="249" t="s">
        <v>66</v>
      </c>
      <c r="L40" s="257" t="s">
        <v>516</v>
      </c>
      <c r="M40" s="249"/>
      <c r="N40" s="267">
        <v>2024.0</v>
      </c>
      <c r="O40" s="268" t="s">
        <v>513</v>
      </c>
      <c r="P40" s="141" t="s">
        <v>622</v>
      </c>
      <c r="Q40" s="141">
        <v>11.0</v>
      </c>
      <c r="R40" s="269">
        <v>2.272727272727273</v>
      </c>
      <c r="T40" s="248"/>
      <c r="U40" s="249"/>
      <c r="V40" s="249"/>
    </row>
    <row r="41">
      <c r="A41" s="255" t="s">
        <v>623</v>
      </c>
      <c r="B41" s="248" t="s">
        <v>595</v>
      </c>
      <c r="C41" s="248" t="s">
        <v>596</v>
      </c>
      <c r="D41" s="248" t="s">
        <v>512</v>
      </c>
      <c r="E41" s="248">
        <v>1568.0</v>
      </c>
      <c r="F41" s="256">
        <v>45440.0</v>
      </c>
      <c r="G41" s="248">
        <v>2024.0</v>
      </c>
      <c r="H41" s="248" t="s">
        <v>513</v>
      </c>
      <c r="I41" s="248" t="s">
        <v>521</v>
      </c>
      <c r="J41" s="248" t="s">
        <v>297</v>
      </c>
      <c r="K41" s="249" t="s">
        <v>624</v>
      </c>
      <c r="L41" s="257" t="s">
        <v>516</v>
      </c>
      <c r="M41" s="249"/>
      <c r="S41" s="248"/>
      <c r="T41" s="249"/>
      <c r="U41" s="249"/>
      <c r="V41" s="249"/>
    </row>
    <row r="42">
      <c r="A42" s="255" t="s">
        <v>625</v>
      </c>
      <c r="B42" s="248" t="s">
        <v>586</v>
      </c>
      <c r="C42" s="248" t="s">
        <v>587</v>
      </c>
      <c r="D42" s="248" t="s">
        <v>512</v>
      </c>
      <c r="E42" s="248">
        <v>10332.0</v>
      </c>
      <c r="F42" s="256">
        <v>45436.0</v>
      </c>
      <c r="G42" s="248">
        <v>2024.0</v>
      </c>
      <c r="H42" s="248" t="s">
        <v>513</v>
      </c>
      <c r="I42" s="248" t="s">
        <v>521</v>
      </c>
      <c r="J42" s="248" t="s">
        <v>297</v>
      </c>
      <c r="K42" s="249" t="s">
        <v>626</v>
      </c>
      <c r="L42" s="257" t="s">
        <v>516</v>
      </c>
      <c r="M42" s="249"/>
      <c r="N42" s="249"/>
      <c r="O42" s="249"/>
      <c r="P42" s="249"/>
      <c r="Q42" s="249"/>
      <c r="R42" s="249"/>
      <c r="T42" s="249"/>
      <c r="U42" s="249"/>
      <c r="V42" s="249"/>
    </row>
    <row r="43">
      <c r="A43" s="255" t="s">
        <v>627</v>
      </c>
      <c r="B43" s="248" t="s">
        <v>590</v>
      </c>
      <c r="C43" s="248" t="s">
        <v>591</v>
      </c>
      <c r="D43" s="248" t="s">
        <v>512</v>
      </c>
      <c r="E43" s="248">
        <v>2231.0</v>
      </c>
      <c r="F43" s="256">
        <v>45433.0</v>
      </c>
      <c r="G43" s="248">
        <v>2024.0</v>
      </c>
      <c r="H43" s="248" t="s">
        <v>546</v>
      </c>
      <c r="I43" s="248" t="s">
        <v>521</v>
      </c>
      <c r="J43" s="248" t="s">
        <v>297</v>
      </c>
      <c r="K43" s="249" t="s">
        <v>628</v>
      </c>
      <c r="L43" s="257" t="s">
        <v>516</v>
      </c>
      <c r="M43" s="249"/>
      <c r="N43" s="270" t="s">
        <v>211</v>
      </c>
      <c r="O43" s="261" t="s">
        <v>497</v>
      </c>
      <c r="P43" s="261" t="s">
        <v>629</v>
      </c>
      <c r="Q43" s="261" t="s">
        <v>345</v>
      </c>
      <c r="R43" s="261" t="s">
        <v>503</v>
      </c>
      <c r="S43" s="253" t="s">
        <v>571</v>
      </c>
      <c r="T43" s="254" t="s">
        <v>630</v>
      </c>
      <c r="V43" s="249"/>
    </row>
    <row r="44">
      <c r="A44" s="255" t="s">
        <v>631</v>
      </c>
      <c r="B44" s="248" t="s">
        <v>530</v>
      </c>
      <c r="C44" s="248" t="s">
        <v>531</v>
      </c>
      <c r="D44" s="248" t="s">
        <v>512</v>
      </c>
      <c r="E44" s="248">
        <v>1598.0</v>
      </c>
      <c r="F44" s="256">
        <v>45432.0</v>
      </c>
      <c r="G44" s="248">
        <v>2024.0</v>
      </c>
      <c r="H44" s="248" t="s">
        <v>513</v>
      </c>
      <c r="I44" s="248" t="s">
        <v>514</v>
      </c>
      <c r="J44" s="248" t="s">
        <v>297</v>
      </c>
      <c r="K44" s="249" t="s">
        <v>632</v>
      </c>
      <c r="L44" s="257" t="s">
        <v>516</v>
      </c>
      <c r="M44" s="249"/>
      <c r="N44" s="255">
        <v>1.0</v>
      </c>
      <c r="O44" s="248" t="s">
        <v>633</v>
      </c>
      <c r="P44" s="264">
        <v>5793151.0</v>
      </c>
      <c r="Q44" s="39">
        <v>2024.0</v>
      </c>
      <c r="R44" s="249" t="s">
        <v>513</v>
      </c>
      <c r="S44" s="264">
        <v>1.0104113E8</v>
      </c>
      <c r="T44" s="271">
        <v>1744148.0465466892</v>
      </c>
      <c r="V44" s="249"/>
    </row>
    <row r="45">
      <c r="A45" s="255" t="s">
        <v>634</v>
      </c>
      <c r="B45" s="248" t="s">
        <v>542</v>
      </c>
      <c r="C45" s="248" t="s">
        <v>543</v>
      </c>
      <c r="D45" s="248" t="s">
        <v>520</v>
      </c>
      <c r="E45" s="248">
        <v>10434.0</v>
      </c>
      <c r="F45" s="256">
        <v>45429.0</v>
      </c>
      <c r="G45" s="248">
        <v>2024.0</v>
      </c>
      <c r="H45" s="248" t="s">
        <v>513</v>
      </c>
      <c r="I45" s="248" t="s">
        <v>514</v>
      </c>
      <c r="J45" s="248" t="s">
        <v>309</v>
      </c>
      <c r="K45" s="249" t="s">
        <v>635</v>
      </c>
      <c r="L45" s="257" t="s">
        <v>516</v>
      </c>
      <c r="M45" s="249"/>
      <c r="N45" s="255">
        <v>2.0</v>
      </c>
      <c r="O45" s="248" t="s">
        <v>636</v>
      </c>
      <c r="P45" s="264">
        <v>2005465.0</v>
      </c>
      <c r="Q45" s="39">
        <v>2024.0</v>
      </c>
      <c r="R45" s="249" t="s">
        <v>513</v>
      </c>
      <c r="S45" s="264">
        <v>3277866.0</v>
      </c>
      <c r="T45" s="271">
        <v>163446.6819415946</v>
      </c>
      <c r="V45" s="249"/>
    </row>
    <row r="46">
      <c r="A46" s="255" t="s">
        <v>637</v>
      </c>
      <c r="B46" s="248" t="s">
        <v>586</v>
      </c>
      <c r="C46" s="248" t="s">
        <v>587</v>
      </c>
      <c r="D46" s="248" t="s">
        <v>520</v>
      </c>
      <c r="E46" s="248">
        <v>1894.0</v>
      </c>
      <c r="F46" s="256">
        <v>45425.0</v>
      </c>
      <c r="G46" s="248">
        <v>2024.0</v>
      </c>
      <c r="H46" s="248" t="s">
        <v>551</v>
      </c>
      <c r="I46" s="248" t="s">
        <v>620</v>
      </c>
      <c r="J46" s="248" t="s">
        <v>309</v>
      </c>
      <c r="K46" s="249" t="s">
        <v>638</v>
      </c>
      <c r="L46" s="257" t="s">
        <v>516</v>
      </c>
      <c r="M46" s="249"/>
      <c r="N46" s="255">
        <v>3.0</v>
      </c>
      <c r="O46" s="248" t="s">
        <v>639</v>
      </c>
      <c r="P46" s="264">
        <v>3503613.0</v>
      </c>
      <c r="Q46" s="39">
        <v>2024.0</v>
      </c>
      <c r="R46" s="249" t="s">
        <v>513</v>
      </c>
      <c r="S46" s="264">
        <v>4308795.0</v>
      </c>
      <c r="T46" s="271">
        <v>122981.47655006417</v>
      </c>
      <c r="V46" s="249"/>
    </row>
    <row r="47">
      <c r="A47" s="255" t="s">
        <v>640</v>
      </c>
      <c r="B47" s="248" t="s">
        <v>641</v>
      </c>
      <c r="C47" s="248" t="s">
        <v>633</v>
      </c>
      <c r="D47" s="248" t="s">
        <v>512</v>
      </c>
      <c r="E47" s="248">
        <v>24183.0</v>
      </c>
      <c r="F47" s="256">
        <v>45422.0</v>
      </c>
      <c r="G47" s="248">
        <v>2024.0</v>
      </c>
      <c r="H47" s="248" t="s">
        <v>513</v>
      </c>
      <c r="I47" s="248" t="s">
        <v>521</v>
      </c>
      <c r="J47" s="248" t="s">
        <v>297</v>
      </c>
      <c r="K47" s="249" t="s">
        <v>642</v>
      </c>
      <c r="L47" s="257" t="s">
        <v>516</v>
      </c>
      <c r="M47" s="249"/>
      <c r="N47" s="255">
        <v>4.0</v>
      </c>
      <c r="O47" s="248" t="s">
        <v>643</v>
      </c>
      <c r="P47" s="264">
        <v>6245466.0</v>
      </c>
      <c r="Q47" s="39">
        <v>2024.0</v>
      </c>
      <c r="R47" s="249" t="s">
        <v>513</v>
      </c>
      <c r="S47" s="264">
        <v>6386507.0</v>
      </c>
      <c r="T47" s="271">
        <v>102258.29425698578</v>
      </c>
      <c r="V47" s="249"/>
    </row>
    <row r="48">
      <c r="A48" s="255" t="s">
        <v>644</v>
      </c>
      <c r="B48" s="248" t="s">
        <v>530</v>
      </c>
      <c r="C48" s="248" t="s">
        <v>531</v>
      </c>
      <c r="D48" s="248" t="s">
        <v>645</v>
      </c>
      <c r="E48" s="248">
        <v>1094.0</v>
      </c>
      <c r="F48" s="256">
        <v>45421.0</v>
      </c>
      <c r="G48" s="248">
        <v>2024.0</v>
      </c>
      <c r="H48" s="248" t="s">
        <v>513</v>
      </c>
      <c r="I48" s="248" t="s">
        <v>521</v>
      </c>
      <c r="J48" s="248" t="s">
        <v>297</v>
      </c>
      <c r="K48" s="249" t="s">
        <v>646</v>
      </c>
      <c r="L48" s="257" t="s">
        <v>516</v>
      </c>
      <c r="M48" s="249"/>
      <c r="N48" s="255">
        <v>5.0</v>
      </c>
      <c r="O48" s="248" t="s">
        <v>583</v>
      </c>
      <c r="P48" s="264">
        <v>1051917.0</v>
      </c>
      <c r="Q48" s="39">
        <v>2024.0</v>
      </c>
      <c r="R48" s="249" t="s">
        <v>513</v>
      </c>
      <c r="S48" s="264">
        <v>916961.0</v>
      </c>
      <c r="T48" s="271">
        <v>87170.47067401705</v>
      </c>
      <c r="V48" s="249"/>
    </row>
    <row r="49">
      <c r="A49" s="255" t="s">
        <v>647</v>
      </c>
      <c r="B49" s="248" t="s">
        <v>573</v>
      </c>
      <c r="C49" s="248" t="s">
        <v>574</v>
      </c>
      <c r="D49" s="248" t="s">
        <v>512</v>
      </c>
      <c r="E49" s="248">
        <v>29629.0</v>
      </c>
      <c r="F49" s="256">
        <v>45418.0</v>
      </c>
      <c r="G49" s="248">
        <v>2024.0</v>
      </c>
      <c r="H49" s="248" t="s">
        <v>546</v>
      </c>
      <c r="I49" s="248" t="s">
        <v>514</v>
      </c>
      <c r="J49" s="248" t="s">
        <v>297</v>
      </c>
      <c r="K49" s="249" t="s">
        <v>648</v>
      </c>
      <c r="L49" s="257" t="s">
        <v>516</v>
      </c>
      <c r="M49" s="249"/>
      <c r="N49" s="255">
        <v>6.0</v>
      </c>
      <c r="O49" s="248" t="s">
        <v>649</v>
      </c>
      <c r="P49" s="264">
        <v>4095393.0</v>
      </c>
      <c r="Q49" s="39">
        <v>2024.0</v>
      </c>
      <c r="R49" s="249" t="s">
        <v>513</v>
      </c>
      <c r="S49" s="264">
        <v>3316372.0</v>
      </c>
      <c r="T49" s="271">
        <v>80978.11369995505</v>
      </c>
      <c r="V49" s="249"/>
    </row>
    <row r="50">
      <c r="A50" s="255" t="s">
        <v>650</v>
      </c>
      <c r="B50" s="248" t="s">
        <v>530</v>
      </c>
      <c r="C50" s="248" t="s">
        <v>531</v>
      </c>
      <c r="D50" s="248" t="s">
        <v>512</v>
      </c>
      <c r="E50" s="248">
        <v>24937.0</v>
      </c>
      <c r="F50" s="256">
        <v>45415.0</v>
      </c>
      <c r="G50" s="248">
        <v>2024.0</v>
      </c>
      <c r="H50" s="248" t="s">
        <v>513</v>
      </c>
      <c r="I50" s="248" t="s">
        <v>514</v>
      </c>
      <c r="J50" s="248" t="s">
        <v>297</v>
      </c>
      <c r="K50" s="249" t="s">
        <v>651</v>
      </c>
      <c r="L50" s="257" t="s">
        <v>516</v>
      </c>
      <c r="M50" s="249"/>
      <c r="N50" s="255">
        <v>7.0</v>
      </c>
      <c r="O50" s="248" t="s">
        <v>652</v>
      </c>
      <c r="P50" s="264">
        <v>4597740.0</v>
      </c>
      <c r="Q50" s="39">
        <v>2024.0</v>
      </c>
      <c r="R50" s="249" t="s">
        <v>513</v>
      </c>
      <c r="S50" s="264">
        <v>2896985.0</v>
      </c>
      <c r="T50" s="271">
        <v>63008.89132486831</v>
      </c>
      <c r="V50" s="249"/>
    </row>
    <row r="51">
      <c r="A51" s="255" t="s">
        <v>653</v>
      </c>
      <c r="B51" s="248" t="s">
        <v>578</v>
      </c>
      <c r="C51" s="248" t="s">
        <v>579</v>
      </c>
      <c r="D51" s="248" t="s">
        <v>512</v>
      </c>
      <c r="E51" s="248">
        <v>373680.0</v>
      </c>
      <c r="F51" s="256">
        <v>45415.0</v>
      </c>
      <c r="G51" s="248">
        <v>2024.0</v>
      </c>
      <c r="H51" s="248" t="s">
        <v>513</v>
      </c>
      <c r="I51" s="248" t="s">
        <v>514</v>
      </c>
      <c r="J51" s="248" t="s">
        <v>297</v>
      </c>
      <c r="K51" s="249" t="s">
        <v>654</v>
      </c>
      <c r="L51" s="257" t="s">
        <v>516</v>
      </c>
      <c r="M51" s="249"/>
      <c r="N51" s="255">
        <v>8.0</v>
      </c>
      <c r="O51" s="248" t="s">
        <v>655</v>
      </c>
      <c r="P51" s="264">
        <v>6263220.0</v>
      </c>
      <c r="Q51" s="39">
        <v>2024.0</v>
      </c>
      <c r="R51" s="249" t="s">
        <v>513</v>
      </c>
      <c r="S51" s="264">
        <v>3789845.0</v>
      </c>
      <c r="T51" s="271">
        <v>60509.5302416329</v>
      </c>
      <c r="V51" s="249"/>
    </row>
    <row r="52">
      <c r="A52" s="255" t="s">
        <v>656</v>
      </c>
      <c r="B52" s="248" t="s">
        <v>573</v>
      </c>
      <c r="C52" s="248" t="s">
        <v>574</v>
      </c>
      <c r="D52" s="248" t="s">
        <v>512</v>
      </c>
      <c r="E52" s="248">
        <v>1129.0</v>
      </c>
      <c r="F52" s="256">
        <v>45414.0</v>
      </c>
      <c r="G52" s="248">
        <v>2024.0</v>
      </c>
      <c r="H52" s="248" t="s">
        <v>513</v>
      </c>
      <c r="I52" s="248" t="s">
        <v>521</v>
      </c>
      <c r="J52" s="248" t="s">
        <v>297</v>
      </c>
      <c r="K52" s="249" t="s">
        <v>657</v>
      </c>
      <c r="L52" s="257" t="s">
        <v>516</v>
      </c>
      <c r="M52" s="249"/>
      <c r="N52" s="255">
        <v>9.0</v>
      </c>
      <c r="O52" s="248" t="s">
        <v>658</v>
      </c>
      <c r="P52" s="264">
        <v>5957493.0</v>
      </c>
      <c r="Q52" s="39">
        <v>2024.0</v>
      </c>
      <c r="R52" s="249" t="s">
        <v>513</v>
      </c>
      <c r="S52" s="264">
        <v>2731994.0</v>
      </c>
      <c r="T52" s="271">
        <v>45858.11515011432</v>
      </c>
      <c r="V52" s="249"/>
    </row>
    <row r="53">
      <c r="A53" s="255" t="s">
        <v>659</v>
      </c>
      <c r="B53" s="248" t="s">
        <v>530</v>
      </c>
      <c r="C53" s="248" t="s">
        <v>531</v>
      </c>
      <c r="D53" s="248" t="s">
        <v>512</v>
      </c>
      <c r="E53" s="248">
        <v>6934.0</v>
      </c>
      <c r="F53" s="256">
        <v>45411.0</v>
      </c>
      <c r="G53" s="248">
        <v>2024.0</v>
      </c>
      <c r="H53" s="248" t="s">
        <v>513</v>
      </c>
      <c r="I53" s="248" t="s">
        <v>514</v>
      </c>
      <c r="J53" s="248" t="s">
        <v>297</v>
      </c>
      <c r="K53" s="249" t="s">
        <v>660</v>
      </c>
      <c r="L53" s="257" t="s">
        <v>516</v>
      </c>
      <c r="M53" s="249"/>
      <c r="N53" s="255">
        <v>10.0</v>
      </c>
      <c r="O53" s="248" t="s">
        <v>519</v>
      </c>
      <c r="P53" s="264">
        <v>7582384.0</v>
      </c>
      <c r="Q53" s="39">
        <v>2024.0</v>
      </c>
      <c r="R53" s="249" t="s">
        <v>513</v>
      </c>
      <c r="S53" s="264">
        <v>3117870.0</v>
      </c>
      <c r="T53" s="271">
        <v>41119.916902124714</v>
      </c>
      <c r="V53" s="249"/>
    </row>
    <row r="54">
      <c r="A54" s="255" t="s">
        <v>661</v>
      </c>
      <c r="B54" s="248" t="s">
        <v>530</v>
      </c>
      <c r="C54" s="248" t="s">
        <v>531</v>
      </c>
      <c r="D54" s="248" t="s">
        <v>645</v>
      </c>
      <c r="E54" s="248">
        <v>77434.0</v>
      </c>
      <c r="F54" s="256">
        <v>45409.0</v>
      </c>
      <c r="G54" s="248">
        <v>2024.0</v>
      </c>
      <c r="H54" s="248" t="s">
        <v>513</v>
      </c>
      <c r="I54" s="248" t="s">
        <v>514</v>
      </c>
      <c r="J54" s="248" t="s">
        <v>297</v>
      </c>
      <c r="K54" s="249" t="s">
        <v>662</v>
      </c>
      <c r="L54" s="257" t="s">
        <v>516</v>
      </c>
      <c r="M54" s="249"/>
      <c r="N54" s="255">
        <v>11.0</v>
      </c>
      <c r="O54" s="248" t="s">
        <v>663</v>
      </c>
      <c r="P54" s="264">
        <v>3.1290831E7</v>
      </c>
      <c r="Q54" s="39">
        <v>2024.0</v>
      </c>
      <c r="R54" s="249" t="s">
        <v>513</v>
      </c>
      <c r="S54" s="264">
        <v>1.1267353E7</v>
      </c>
      <c r="T54" s="271">
        <v>36008.48120652341</v>
      </c>
      <c r="V54" s="249"/>
    </row>
    <row r="55">
      <c r="A55" s="255" t="s">
        <v>664</v>
      </c>
      <c r="B55" s="248" t="s">
        <v>534</v>
      </c>
      <c r="C55" s="248" t="s">
        <v>535</v>
      </c>
      <c r="D55" s="248" t="s">
        <v>512</v>
      </c>
      <c r="E55" s="248">
        <v>178742.0</v>
      </c>
      <c r="F55" s="256">
        <v>45408.0</v>
      </c>
      <c r="G55" s="248">
        <v>2024.0</v>
      </c>
      <c r="H55" s="248" t="s">
        <v>513</v>
      </c>
      <c r="I55" s="248" t="s">
        <v>514</v>
      </c>
      <c r="J55" s="248" t="s">
        <v>297</v>
      </c>
      <c r="K55" s="249" t="s">
        <v>665</v>
      </c>
      <c r="L55" s="257" t="s">
        <v>516</v>
      </c>
      <c r="M55" s="249"/>
      <c r="N55" s="255">
        <v>12.0</v>
      </c>
      <c r="O55" s="248" t="s">
        <v>666</v>
      </c>
      <c r="P55" s="264">
        <v>2001619.0</v>
      </c>
      <c r="Q55" s="39">
        <v>2024.0</v>
      </c>
      <c r="R55" s="249" t="s">
        <v>513</v>
      </c>
      <c r="S55" s="264">
        <v>478515.0</v>
      </c>
      <c r="T55" s="271">
        <v>23906.397771004373</v>
      </c>
      <c r="V55" s="249"/>
    </row>
    <row r="56">
      <c r="A56" s="255" t="s">
        <v>667</v>
      </c>
      <c r="B56" s="248" t="s">
        <v>668</v>
      </c>
      <c r="C56" s="248" t="s">
        <v>669</v>
      </c>
      <c r="D56" s="248" t="s">
        <v>512</v>
      </c>
      <c r="E56" s="248">
        <v>13055.0</v>
      </c>
      <c r="F56" s="256">
        <v>45408.0</v>
      </c>
      <c r="G56" s="248">
        <v>2024.0</v>
      </c>
      <c r="H56" s="248" t="s">
        <v>513</v>
      </c>
      <c r="I56" s="248" t="s">
        <v>521</v>
      </c>
      <c r="J56" s="248" t="s">
        <v>297</v>
      </c>
      <c r="K56" s="249" t="s">
        <v>670</v>
      </c>
      <c r="L56" s="257" t="s">
        <v>516</v>
      </c>
      <c r="M56" s="249"/>
      <c r="N56" s="255">
        <v>13.0</v>
      </c>
      <c r="O56" s="248" t="s">
        <v>587</v>
      </c>
      <c r="P56" s="264">
        <v>1.2710158E7</v>
      </c>
      <c r="Q56" s="39">
        <v>2024.0</v>
      </c>
      <c r="R56" s="249" t="s">
        <v>513</v>
      </c>
      <c r="S56" s="264">
        <v>3027589.0</v>
      </c>
      <c r="T56" s="271">
        <v>23820.231030959647</v>
      </c>
      <c r="V56" s="249"/>
    </row>
    <row r="57">
      <c r="A57" s="255" t="s">
        <v>671</v>
      </c>
      <c r="B57" s="248" t="s">
        <v>542</v>
      </c>
      <c r="C57" s="248" t="s">
        <v>543</v>
      </c>
      <c r="D57" s="248" t="s">
        <v>512</v>
      </c>
      <c r="E57" s="248">
        <v>26577.0</v>
      </c>
      <c r="F57" s="256">
        <v>45406.0</v>
      </c>
      <c r="G57" s="248">
        <v>2024.0</v>
      </c>
      <c r="H57" s="248" t="s">
        <v>513</v>
      </c>
      <c r="I57" s="248" t="s">
        <v>514</v>
      </c>
      <c r="J57" s="248" t="s">
        <v>309</v>
      </c>
      <c r="K57" s="249" t="s">
        <v>672</v>
      </c>
      <c r="L57" s="257" t="s">
        <v>516</v>
      </c>
      <c r="M57" s="249"/>
      <c r="N57" s="255">
        <v>14.0</v>
      </c>
      <c r="O57" s="248" t="s">
        <v>574</v>
      </c>
      <c r="P57" s="264">
        <v>1.9867248E7</v>
      </c>
      <c r="Q57" s="39">
        <v>2024.0</v>
      </c>
      <c r="R57" s="249" t="s">
        <v>513</v>
      </c>
      <c r="S57" s="264">
        <v>4531267.0</v>
      </c>
      <c r="T57" s="271">
        <v>22807.723545807654</v>
      </c>
      <c r="V57" s="249"/>
    </row>
    <row r="58">
      <c r="A58" s="255" t="s">
        <v>673</v>
      </c>
      <c r="B58" s="248" t="s">
        <v>564</v>
      </c>
      <c r="C58" s="248" t="s">
        <v>565</v>
      </c>
      <c r="D58" s="248" t="s">
        <v>512</v>
      </c>
      <c r="E58" s="248">
        <v>8111.0</v>
      </c>
      <c r="F58" s="256">
        <v>45404.0</v>
      </c>
      <c r="G58" s="248">
        <v>2024.0</v>
      </c>
      <c r="H58" s="248" t="s">
        <v>513</v>
      </c>
      <c r="I58" s="248" t="s">
        <v>514</v>
      </c>
      <c r="J58" s="248" t="s">
        <v>297</v>
      </c>
      <c r="K58" s="249" t="s">
        <v>674</v>
      </c>
      <c r="L58" s="257" t="s">
        <v>516</v>
      </c>
      <c r="M58" s="249"/>
      <c r="N58" s="255">
        <v>15.0</v>
      </c>
      <c r="O58" s="248" t="s">
        <v>675</v>
      </c>
      <c r="P58" s="264">
        <v>7227750.0</v>
      </c>
      <c r="Q58" s="39">
        <v>2024.0</v>
      </c>
      <c r="R58" s="249" t="s">
        <v>513</v>
      </c>
      <c r="S58" s="264">
        <v>1592536.0</v>
      </c>
      <c r="T58" s="271">
        <v>22033.63425685725</v>
      </c>
      <c r="V58" s="249"/>
    </row>
    <row r="59">
      <c r="A59" s="255" t="s">
        <v>676</v>
      </c>
      <c r="B59" s="248" t="s">
        <v>525</v>
      </c>
      <c r="C59" s="248" t="s">
        <v>526</v>
      </c>
      <c r="D59" s="248" t="s">
        <v>512</v>
      </c>
      <c r="E59" s="248">
        <v>4169.0</v>
      </c>
      <c r="F59" s="256">
        <v>45404.0</v>
      </c>
      <c r="G59" s="248">
        <v>2024.0</v>
      </c>
      <c r="H59" s="248" t="s">
        <v>546</v>
      </c>
      <c r="I59" s="248" t="s">
        <v>514</v>
      </c>
      <c r="J59" s="248" t="s">
        <v>297</v>
      </c>
      <c r="K59" s="249" t="s">
        <v>677</v>
      </c>
      <c r="L59" s="257" t="s">
        <v>516</v>
      </c>
      <c r="M59" s="249"/>
      <c r="N59" s="255">
        <v>16.0</v>
      </c>
      <c r="O59" s="248" t="s">
        <v>511</v>
      </c>
      <c r="P59" s="264">
        <v>1409032.0</v>
      </c>
      <c r="Q59" s="39">
        <v>2024.0</v>
      </c>
      <c r="R59" s="249" t="s">
        <v>513</v>
      </c>
      <c r="S59" s="264">
        <v>254981.0</v>
      </c>
      <c r="T59" s="271">
        <v>18096.18234362314</v>
      </c>
      <c r="V59" s="249"/>
    </row>
    <row r="60">
      <c r="A60" s="255" t="s">
        <v>678</v>
      </c>
      <c r="B60" s="248" t="s">
        <v>679</v>
      </c>
      <c r="C60" s="248" t="s">
        <v>663</v>
      </c>
      <c r="D60" s="248" t="s">
        <v>512</v>
      </c>
      <c r="E60" s="248">
        <v>76165.0</v>
      </c>
      <c r="F60" s="256">
        <v>45404.0</v>
      </c>
      <c r="G60" s="248">
        <v>2024.0</v>
      </c>
      <c r="H60" s="248" t="s">
        <v>513</v>
      </c>
      <c r="I60" s="248" t="s">
        <v>521</v>
      </c>
      <c r="J60" s="248" t="s">
        <v>297</v>
      </c>
      <c r="K60" s="249" t="s">
        <v>66</v>
      </c>
      <c r="L60" s="257" t="s">
        <v>516</v>
      </c>
      <c r="M60" s="249"/>
      <c r="N60" s="255">
        <v>17.0</v>
      </c>
      <c r="O60" s="248" t="s">
        <v>680</v>
      </c>
      <c r="P60" s="264">
        <v>3241488.0</v>
      </c>
      <c r="Q60" s="39">
        <v>2024.0</v>
      </c>
      <c r="R60" s="249" t="s">
        <v>513</v>
      </c>
      <c r="S60" s="264">
        <v>571320.0</v>
      </c>
      <c r="T60" s="271">
        <v>17625.23877922732</v>
      </c>
      <c r="V60" s="249"/>
    </row>
    <row r="61">
      <c r="A61" s="255" t="s">
        <v>681</v>
      </c>
      <c r="B61" s="248" t="s">
        <v>525</v>
      </c>
      <c r="C61" s="248" t="s">
        <v>526</v>
      </c>
      <c r="D61" s="248" t="s">
        <v>575</v>
      </c>
      <c r="E61" s="248">
        <v>8172.0</v>
      </c>
      <c r="F61" s="256">
        <v>45401.0</v>
      </c>
      <c r="G61" s="248">
        <v>2024.0</v>
      </c>
      <c r="H61" s="248" t="s">
        <v>513</v>
      </c>
      <c r="I61" s="248" t="s">
        <v>514</v>
      </c>
      <c r="J61" s="248" t="s">
        <v>297</v>
      </c>
      <c r="K61" s="249" t="s">
        <v>682</v>
      </c>
      <c r="L61" s="257" t="s">
        <v>516</v>
      </c>
      <c r="M61" s="249"/>
      <c r="N61" s="255">
        <v>18.0</v>
      </c>
      <c r="O61" s="248" t="s">
        <v>683</v>
      </c>
      <c r="P61" s="264">
        <v>1.3078751E7</v>
      </c>
      <c r="Q61" s="39">
        <v>2024.0</v>
      </c>
      <c r="R61" s="249" t="s">
        <v>513</v>
      </c>
      <c r="S61" s="264">
        <v>1919942.0</v>
      </c>
      <c r="T61" s="271">
        <v>14679.857426752755</v>
      </c>
      <c r="V61" s="249"/>
    </row>
    <row r="62">
      <c r="A62" s="255" t="s">
        <v>684</v>
      </c>
      <c r="B62" s="248" t="s">
        <v>534</v>
      </c>
      <c r="C62" s="248" t="s">
        <v>535</v>
      </c>
      <c r="D62" s="248" t="s">
        <v>520</v>
      </c>
      <c r="E62" s="248">
        <v>47106.0</v>
      </c>
      <c r="F62" s="256">
        <v>45399.0</v>
      </c>
      <c r="G62" s="248">
        <v>2024.0</v>
      </c>
      <c r="H62" s="248" t="s">
        <v>513</v>
      </c>
      <c r="I62" s="248" t="s">
        <v>514</v>
      </c>
      <c r="J62" s="248" t="s">
        <v>309</v>
      </c>
      <c r="K62" s="249" t="s">
        <v>685</v>
      </c>
      <c r="L62" s="257" t="s">
        <v>516</v>
      </c>
      <c r="M62" s="249"/>
      <c r="N62" s="255">
        <v>19.0</v>
      </c>
      <c r="O62" s="248" t="s">
        <v>686</v>
      </c>
      <c r="P62" s="264">
        <v>2943045.0</v>
      </c>
      <c r="Q62" s="39">
        <v>2024.0</v>
      </c>
      <c r="R62" s="249" t="s">
        <v>513</v>
      </c>
      <c r="S62" s="264">
        <v>424550.0</v>
      </c>
      <c r="T62" s="271">
        <v>14425.535457323962</v>
      </c>
      <c r="V62" s="249"/>
    </row>
    <row r="63">
      <c r="A63" s="255" t="s">
        <v>687</v>
      </c>
      <c r="B63" s="248" t="s">
        <v>688</v>
      </c>
      <c r="C63" s="248" t="s">
        <v>683</v>
      </c>
      <c r="D63" s="248" t="s">
        <v>520</v>
      </c>
      <c r="E63" s="248">
        <v>1338.0</v>
      </c>
      <c r="F63" s="256">
        <v>45398.0</v>
      </c>
      <c r="G63" s="248">
        <v>2024.0</v>
      </c>
      <c r="H63" s="248" t="s">
        <v>513</v>
      </c>
      <c r="I63" s="248" t="s">
        <v>514</v>
      </c>
      <c r="J63" s="248" t="s">
        <v>309</v>
      </c>
      <c r="K63" s="249" t="s">
        <v>689</v>
      </c>
      <c r="L63" s="257" t="s">
        <v>516</v>
      </c>
      <c r="M63" s="249"/>
      <c r="N63" s="255">
        <v>20.0</v>
      </c>
      <c r="O63" s="248" t="s">
        <v>608</v>
      </c>
      <c r="P63" s="264">
        <v>5157699.0</v>
      </c>
      <c r="Q63" s="39">
        <v>2024.0</v>
      </c>
      <c r="R63" s="249" t="s">
        <v>513</v>
      </c>
      <c r="S63" s="264">
        <v>736647.0</v>
      </c>
      <c r="T63" s="271">
        <v>14282.473637953668</v>
      </c>
      <c r="V63" s="249"/>
    </row>
    <row r="64">
      <c r="A64" s="255" t="s">
        <v>687</v>
      </c>
      <c r="B64" s="248" t="s">
        <v>688</v>
      </c>
      <c r="C64" s="248" t="s">
        <v>683</v>
      </c>
      <c r="D64" s="248" t="s">
        <v>520</v>
      </c>
      <c r="E64" s="248">
        <v>7539.0</v>
      </c>
      <c r="F64" s="256">
        <v>45398.0</v>
      </c>
      <c r="G64" s="248">
        <v>2024.0</v>
      </c>
      <c r="H64" s="248" t="s">
        <v>513</v>
      </c>
      <c r="I64" s="248" t="s">
        <v>514</v>
      </c>
      <c r="J64" s="248" t="s">
        <v>309</v>
      </c>
      <c r="K64" s="249" t="s">
        <v>690</v>
      </c>
      <c r="L64" s="257" t="s">
        <v>516</v>
      </c>
      <c r="M64" s="249"/>
      <c r="N64" s="255">
        <v>21.0</v>
      </c>
      <c r="O64" s="248" t="s">
        <v>669</v>
      </c>
      <c r="P64" s="264">
        <v>5960975.0</v>
      </c>
      <c r="Q64" s="39">
        <v>2024.0</v>
      </c>
      <c r="R64" s="249" t="s">
        <v>513</v>
      </c>
      <c r="S64" s="264">
        <v>813086.0</v>
      </c>
      <c r="T64" s="271">
        <v>13640.151149769963</v>
      </c>
      <c r="V64" s="249"/>
    </row>
    <row r="65">
      <c r="A65" s="255" t="s">
        <v>687</v>
      </c>
      <c r="B65" s="248" t="s">
        <v>688</v>
      </c>
      <c r="C65" s="248" t="s">
        <v>683</v>
      </c>
      <c r="D65" s="248" t="s">
        <v>520</v>
      </c>
      <c r="E65" s="248">
        <v>5576.0</v>
      </c>
      <c r="F65" s="256">
        <v>45398.0</v>
      </c>
      <c r="G65" s="248">
        <v>2024.0</v>
      </c>
      <c r="H65" s="248" t="s">
        <v>513</v>
      </c>
      <c r="I65" s="248" t="s">
        <v>514</v>
      </c>
      <c r="J65" s="248" t="s">
        <v>309</v>
      </c>
      <c r="K65" s="249" t="s">
        <v>691</v>
      </c>
      <c r="L65" s="257" t="s">
        <v>516</v>
      </c>
      <c r="M65" s="249"/>
      <c r="N65" s="255">
        <v>22.0</v>
      </c>
      <c r="O65" s="248" t="s">
        <v>554</v>
      </c>
      <c r="P65" s="264">
        <v>3088354.0</v>
      </c>
      <c r="Q65" s="39">
        <v>2024.0</v>
      </c>
      <c r="R65" s="249" t="s">
        <v>513</v>
      </c>
      <c r="S65" s="264">
        <v>418455.0</v>
      </c>
      <c r="T65" s="271">
        <v>13549.450613498324</v>
      </c>
      <c r="V65" s="249"/>
    </row>
    <row r="66">
      <c r="A66" s="255" t="s">
        <v>692</v>
      </c>
      <c r="B66" s="248" t="s">
        <v>530</v>
      </c>
      <c r="C66" s="248" t="s">
        <v>531</v>
      </c>
      <c r="D66" s="248" t="s">
        <v>575</v>
      </c>
      <c r="E66" s="248">
        <v>4562.0</v>
      </c>
      <c r="F66" s="256">
        <v>45398.0</v>
      </c>
      <c r="G66" s="248">
        <v>2024.0</v>
      </c>
      <c r="H66" s="248" t="s">
        <v>546</v>
      </c>
      <c r="I66" s="248" t="s">
        <v>521</v>
      </c>
      <c r="J66" s="248" t="s">
        <v>297</v>
      </c>
      <c r="K66" s="249" t="s">
        <v>693</v>
      </c>
      <c r="L66" s="257" t="s">
        <v>516</v>
      </c>
      <c r="M66" s="249"/>
      <c r="N66" s="255">
        <v>23.0</v>
      </c>
      <c r="O66" s="248" t="s">
        <v>694</v>
      </c>
      <c r="P66" s="264">
        <v>1.1046024E7</v>
      </c>
      <c r="Q66" s="39">
        <v>2024.0</v>
      </c>
      <c r="R66" s="249" t="s">
        <v>513</v>
      </c>
      <c r="S66" s="264">
        <v>1453253.0</v>
      </c>
      <c r="T66" s="271">
        <v>13156.344762604173</v>
      </c>
      <c r="V66" s="249"/>
    </row>
    <row r="67">
      <c r="A67" s="255" t="s">
        <v>695</v>
      </c>
      <c r="B67" s="248" t="s">
        <v>525</v>
      </c>
      <c r="C67" s="248" t="s">
        <v>526</v>
      </c>
      <c r="D67" s="248" t="s">
        <v>575</v>
      </c>
      <c r="E67" s="248">
        <v>1778.0</v>
      </c>
      <c r="F67" s="256">
        <v>45398.0</v>
      </c>
      <c r="G67" s="248">
        <v>2024.0</v>
      </c>
      <c r="H67" s="248" t="s">
        <v>546</v>
      </c>
      <c r="I67" s="248" t="s">
        <v>521</v>
      </c>
      <c r="J67" s="248" t="s">
        <v>297</v>
      </c>
      <c r="K67" s="249" t="s">
        <v>696</v>
      </c>
      <c r="L67" s="257" t="s">
        <v>516</v>
      </c>
      <c r="M67" s="249"/>
      <c r="N67" s="255">
        <v>24.0</v>
      </c>
      <c r="O67" s="248" t="s">
        <v>565</v>
      </c>
      <c r="P67" s="264">
        <v>1.1180878E7</v>
      </c>
      <c r="Q67" s="39">
        <v>2024.0</v>
      </c>
      <c r="R67" s="249" t="s">
        <v>513</v>
      </c>
      <c r="S67" s="264">
        <v>1465889.0</v>
      </c>
      <c r="T67" s="271">
        <v>13110.67878569107</v>
      </c>
      <c r="V67" s="249"/>
    </row>
    <row r="68">
      <c r="A68" s="255" t="s">
        <v>697</v>
      </c>
      <c r="B68" s="248" t="s">
        <v>698</v>
      </c>
      <c r="C68" s="248" t="s">
        <v>699</v>
      </c>
      <c r="D68" s="248" t="s">
        <v>512</v>
      </c>
      <c r="E68" s="248">
        <v>11321.0</v>
      </c>
      <c r="F68" s="256">
        <v>45398.0</v>
      </c>
      <c r="G68" s="248">
        <v>2024.0</v>
      </c>
      <c r="H68" s="248" t="s">
        <v>513</v>
      </c>
      <c r="I68" s="248" t="s">
        <v>514</v>
      </c>
      <c r="J68" s="248" t="s">
        <v>297</v>
      </c>
      <c r="K68" s="249" t="s">
        <v>700</v>
      </c>
      <c r="L68" s="257" t="s">
        <v>516</v>
      </c>
      <c r="M68" s="249"/>
      <c r="N68" s="255">
        <v>25.0</v>
      </c>
      <c r="O68" s="248" t="s">
        <v>701</v>
      </c>
      <c r="P68" s="264">
        <v>1446146.0</v>
      </c>
      <c r="Q68" s="39">
        <v>2024.0</v>
      </c>
      <c r="R68" s="249" t="s">
        <v>513</v>
      </c>
      <c r="S68" s="264">
        <v>147021.0</v>
      </c>
      <c r="T68" s="271">
        <v>10166.40090281341</v>
      </c>
      <c r="V68" s="249"/>
    </row>
    <row r="69">
      <c r="A69" s="255" t="s">
        <v>702</v>
      </c>
      <c r="B69" s="248" t="s">
        <v>510</v>
      </c>
      <c r="C69" s="248" t="s">
        <v>511</v>
      </c>
      <c r="D69" s="248" t="s">
        <v>512</v>
      </c>
      <c r="E69" s="248">
        <v>2792.0</v>
      </c>
      <c r="F69" s="256">
        <v>45397.0</v>
      </c>
      <c r="G69" s="248">
        <v>2024.0</v>
      </c>
      <c r="H69" s="248" t="s">
        <v>513</v>
      </c>
      <c r="I69" s="248" t="s">
        <v>521</v>
      </c>
      <c r="J69" s="248" t="s">
        <v>309</v>
      </c>
      <c r="K69" s="249" t="s">
        <v>703</v>
      </c>
      <c r="L69" s="257" t="s">
        <v>516</v>
      </c>
      <c r="M69" s="249"/>
      <c r="N69" s="255">
        <v>26.0</v>
      </c>
      <c r="O69" s="248" t="s">
        <v>591</v>
      </c>
      <c r="P69" s="264">
        <v>7136171.0</v>
      </c>
      <c r="Q69" s="39">
        <v>2024.0</v>
      </c>
      <c r="R69" s="249" t="s">
        <v>513</v>
      </c>
      <c r="S69" s="264">
        <v>614769.0</v>
      </c>
      <c r="T69" s="271">
        <v>8614.82999776771</v>
      </c>
      <c r="V69" s="249"/>
    </row>
    <row r="70">
      <c r="A70" s="255" t="s">
        <v>704</v>
      </c>
      <c r="B70" s="248" t="s">
        <v>705</v>
      </c>
      <c r="C70" s="248" t="s">
        <v>706</v>
      </c>
      <c r="D70" s="248" t="s">
        <v>512</v>
      </c>
      <c r="E70" s="248">
        <v>6963.0</v>
      </c>
      <c r="F70" s="256">
        <v>45392.0</v>
      </c>
      <c r="G70" s="248">
        <v>2024.0</v>
      </c>
      <c r="H70" s="248" t="s">
        <v>546</v>
      </c>
      <c r="I70" s="248" t="s">
        <v>707</v>
      </c>
      <c r="J70" s="248" t="s">
        <v>297</v>
      </c>
      <c r="K70" s="249" t="s">
        <v>708</v>
      </c>
      <c r="L70" s="257" t="s">
        <v>516</v>
      </c>
      <c r="M70" s="249"/>
      <c r="N70" s="255">
        <v>27.0</v>
      </c>
      <c r="O70" s="248" t="s">
        <v>535</v>
      </c>
      <c r="P70" s="264">
        <v>3675069.0</v>
      </c>
      <c r="Q70" s="39">
        <v>2024.0</v>
      </c>
      <c r="R70" s="249" t="s">
        <v>513</v>
      </c>
      <c r="S70" s="264">
        <v>297536.0</v>
      </c>
      <c r="T70" s="271">
        <v>8096.065679311056</v>
      </c>
      <c r="V70" s="249"/>
    </row>
    <row r="71">
      <c r="A71" s="255" t="s">
        <v>709</v>
      </c>
      <c r="B71" s="248" t="s">
        <v>573</v>
      </c>
      <c r="C71" s="248" t="s">
        <v>574</v>
      </c>
      <c r="D71" s="248" t="s">
        <v>512</v>
      </c>
      <c r="E71" s="248">
        <v>3852.0</v>
      </c>
      <c r="F71" s="256">
        <v>45390.0</v>
      </c>
      <c r="G71" s="248">
        <v>2024.0</v>
      </c>
      <c r="H71" s="248" t="s">
        <v>513</v>
      </c>
      <c r="I71" s="248" t="s">
        <v>514</v>
      </c>
      <c r="J71" s="248" t="s">
        <v>297</v>
      </c>
      <c r="K71" s="249" t="s">
        <v>710</v>
      </c>
      <c r="L71" s="257" t="s">
        <v>516</v>
      </c>
      <c r="M71" s="249"/>
      <c r="N71" s="255">
        <v>28.0</v>
      </c>
      <c r="O71" s="248" t="s">
        <v>531</v>
      </c>
      <c r="P71" s="264">
        <v>3.9431263E7</v>
      </c>
      <c r="Q71" s="39">
        <v>2024.0</v>
      </c>
      <c r="R71" s="249" t="s">
        <v>513</v>
      </c>
      <c r="S71" s="264">
        <v>2863451.0</v>
      </c>
      <c r="T71" s="271">
        <v>7261.87999608331</v>
      </c>
      <c r="V71" s="249"/>
    </row>
    <row r="72">
      <c r="A72" s="255" t="s">
        <v>711</v>
      </c>
      <c r="B72" s="248" t="s">
        <v>573</v>
      </c>
      <c r="C72" s="248" t="s">
        <v>574</v>
      </c>
      <c r="D72" s="248" t="s">
        <v>520</v>
      </c>
      <c r="E72" s="248">
        <v>15203.0</v>
      </c>
      <c r="F72" s="256">
        <v>45386.0</v>
      </c>
      <c r="G72" s="248">
        <v>2024.0</v>
      </c>
      <c r="H72" s="248" t="s">
        <v>513</v>
      </c>
      <c r="I72" s="248" t="s">
        <v>514</v>
      </c>
      <c r="J72" s="248" t="s">
        <v>309</v>
      </c>
      <c r="K72" s="249" t="s">
        <v>712</v>
      </c>
      <c r="L72" s="257" t="s">
        <v>516</v>
      </c>
      <c r="M72" s="249"/>
      <c r="N72" s="255">
        <v>29.0</v>
      </c>
      <c r="O72" s="248" t="s">
        <v>539</v>
      </c>
      <c r="P72" s="264">
        <v>6924275.0</v>
      </c>
      <c r="Q72" s="39">
        <v>2024.0</v>
      </c>
      <c r="R72" s="249" t="s">
        <v>513</v>
      </c>
      <c r="S72" s="264">
        <v>492503.0</v>
      </c>
      <c r="T72" s="271">
        <v>7112.701329742104</v>
      </c>
      <c r="V72" s="249"/>
    </row>
    <row r="73">
      <c r="A73" s="255" t="s">
        <v>713</v>
      </c>
      <c r="B73" s="248" t="s">
        <v>530</v>
      </c>
      <c r="C73" s="248" t="s">
        <v>531</v>
      </c>
      <c r="D73" s="248" t="s">
        <v>512</v>
      </c>
      <c r="E73" s="248">
        <v>3716.0</v>
      </c>
      <c r="F73" s="256">
        <v>45380.0</v>
      </c>
      <c r="G73" s="248">
        <v>2024.0</v>
      </c>
      <c r="H73" s="248" t="s">
        <v>551</v>
      </c>
      <c r="I73" s="248" t="s">
        <v>547</v>
      </c>
      <c r="J73" s="248" t="s">
        <v>297</v>
      </c>
      <c r="K73" s="249" t="s">
        <v>714</v>
      </c>
      <c r="L73" s="257" t="s">
        <v>516</v>
      </c>
      <c r="M73" s="249"/>
      <c r="N73" s="255">
        <v>30.0</v>
      </c>
      <c r="O73" s="248" t="s">
        <v>543</v>
      </c>
      <c r="P73" s="264">
        <v>2.3372215E7</v>
      </c>
      <c r="Q73" s="39">
        <v>2024.0</v>
      </c>
      <c r="R73" s="249" t="s">
        <v>513</v>
      </c>
      <c r="S73" s="264">
        <v>1642377.0</v>
      </c>
      <c r="T73" s="271">
        <v>7027.048998137318</v>
      </c>
      <c r="V73" s="249"/>
    </row>
    <row r="74">
      <c r="A74" s="255" t="s">
        <v>715</v>
      </c>
      <c r="B74" s="248" t="s">
        <v>595</v>
      </c>
      <c r="C74" s="248" t="s">
        <v>596</v>
      </c>
      <c r="D74" s="248" t="s">
        <v>512</v>
      </c>
      <c r="E74" s="248">
        <v>6500.0</v>
      </c>
      <c r="F74" s="256">
        <v>45374.0</v>
      </c>
      <c r="G74" s="248">
        <v>2024.0</v>
      </c>
      <c r="H74" s="248" t="s">
        <v>551</v>
      </c>
      <c r="I74" s="248" t="s">
        <v>547</v>
      </c>
      <c r="J74" s="248" t="s">
        <v>297</v>
      </c>
      <c r="K74" s="249" t="s">
        <v>716</v>
      </c>
      <c r="L74" s="257" t="s">
        <v>516</v>
      </c>
      <c r="M74" s="249"/>
      <c r="N74" s="255">
        <v>31.0</v>
      </c>
      <c r="O74" s="248" t="s">
        <v>717</v>
      </c>
      <c r="P74" s="264">
        <v>1112308.0</v>
      </c>
      <c r="Q74" s="39">
        <v>2024.0</v>
      </c>
      <c r="R74" s="249" t="s">
        <v>513</v>
      </c>
      <c r="S74" s="264">
        <v>75945.0</v>
      </c>
      <c r="T74" s="271">
        <v>6827.695206723318</v>
      </c>
      <c r="V74" s="249"/>
    </row>
    <row r="75">
      <c r="A75" s="255" t="s">
        <v>718</v>
      </c>
      <c r="B75" s="248" t="s">
        <v>530</v>
      </c>
      <c r="C75" s="248" t="s">
        <v>531</v>
      </c>
      <c r="D75" s="248" t="s">
        <v>520</v>
      </c>
      <c r="E75" s="248">
        <v>585035.0</v>
      </c>
      <c r="F75" s="256">
        <v>45374.0</v>
      </c>
      <c r="G75" s="248">
        <v>2024.0</v>
      </c>
      <c r="H75" s="248" t="s">
        <v>513</v>
      </c>
      <c r="I75" s="248" t="s">
        <v>514</v>
      </c>
      <c r="J75" s="248" t="s">
        <v>309</v>
      </c>
      <c r="K75" s="249" t="s">
        <v>719</v>
      </c>
      <c r="L75" s="257" t="s">
        <v>516</v>
      </c>
      <c r="M75" s="249"/>
      <c r="N75" s="255">
        <v>32.0</v>
      </c>
      <c r="O75" s="248" t="s">
        <v>579</v>
      </c>
      <c r="P75" s="264">
        <v>9500851.0</v>
      </c>
      <c r="Q75" s="39">
        <v>2024.0</v>
      </c>
      <c r="R75" s="249" t="s">
        <v>513</v>
      </c>
      <c r="S75" s="264">
        <v>564759.0</v>
      </c>
      <c r="T75" s="271">
        <v>5944.299094891605</v>
      </c>
      <c r="V75" s="249"/>
    </row>
    <row r="76">
      <c r="A76" s="255" t="s">
        <v>720</v>
      </c>
      <c r="B76" s="248" t="s">
        <v>721</v>
      </c>
      <c r="C76" s="248" t="s">
        <v>649</v>
      </c>
      <c r="D76" s="248" t="s">
        <v>512</v>
      </c>
      <c r="E76" s="248">
        <v>611743.0</v>
      </c>
      <c r="F76" s="256">
        <v>45373.0</v>
      </c>
      <c r="G76" s="248">
        <v>2024.0</v>
      </c>
      <c r="H76" s="248" t="s">
        <v>513</v>
      </c>
      <c r="I76" s="248" t="s">
        <v>514</v>
      </c>
      <c r="J76" s="248" t="s">
        <v>297</v>
      </c>
      <c r="K76" s="249" t="s">
        <v>722</v>
      </c>
      <c r="L76" s="257" t="s">
        <v>516</v>
      </c>
      <c r="M76" s="249"/>
      <c r="N76" s="255">
        <v>33.0</v>
      </c>
      <c r="O76" s="248" t="s">
        <v>723</v>
      </c>
      <c r="P76" s="264">
        <v>796568.0</v>
      </c>
      <c r="Q76" s="39">
        <v>2024.0</v>
      </c>
      <c r="R76" s="249" t="s">
        <v>513</v>
      </c>
      <c r="S76" s="264">
        <v>43923.0</v>
      </c>
      <c r="T76" s="271">
        <v>5514.0301895130115</v>
      </c>
      <c r="V76" s="249"/>
    </row>
    <row r="77">
      <c r="A77" s="255" t="s">
        <v>631</v>
      </c>
      <c r="B77" s="248" t="s">
        <v>530</v>
      </c>
      <c r="C77" s="248" t="s">
        <v>531</v>
      </c>
      <c r="D77" s="248" t="s">
        <v>512</v>
      </c>
      <c r="E77" s="248">
        <v>1408.0</v>
      </c>
      <c r="F77" s="256">
        <v>45373.0</v>
      </c>
      <c r="G77" s="248">
        <v>2024.0</v>
      </c>
      <c r="H77" s="248" t="s">
        <v>513</v>
      </c>
      <c r="I77" s="248" t="s">
        <v>521</v>
      </c>
      <c r="J77" s="248" t="s">
        <v>297</v>
      </c>
      <c r="K77" s="249" t="s">
        <v>724</v>
      </c>
      <c r="L77" s="257" t="s">
        <v>516</v>
      </c>
      <c r="M77" s="249"/>
      <c r="N77" s="255">
        <v>34.0</v>
      </c>
      <c r="O77" s="248" t="s">
        <v>725</v>
      </c>
      <c r="P77" s="264">
        <v>1.0140459E7</v>
      </c>
      <c r="Q77" s="39">
        <v>2024.0</v>
      </c>
      <c r="R77" s="249" t="s">
        <v>513</v>
      </c>
      <c r="S77" s="264">
        <v>385385.0</v>
      </c>
      <c r="T77" s="271">
        <v>3800.468992577161</v>
      </c>
      <c r="V77" s="249"/>
    </row>
    <row r="78">
      <c r="A78" s="255" t="s">
        <v>726</v>
      </c>
      <c r="B78" s="248" t="s">
        <v>727</v>
      </c>
      <c r="C78" s="248" t="s">
        <v>658</v>
      </c>
      <c r="D78" s="248" t="s">
        <v>512</v>
      </c>
      <c r="E78" s="248">
        <v>2500.0</v>
      </c>
      <c r="F78" s="256">
        <v>45372.0</v>
      </c>
      <c r="G78" s="248">
        <v>2024.0</v>
      </c>
      <c r="H78" s="248" t="s">
        <v>513</v>
      </c>
      <c r="I78" s="248" t="s">
        <v>514</v>
      </c>
      <c r="J78" s="248" t="s">
        <v>297</v>
      </c>
      <c r="K78" s="249" t="s">
        <v>66</v>
      </c>
      <c r="L78" s="257" t="s">
        <v>516</v>
      </c>
      <c r="M78" s="249"/>
      <c r="N78" s="255">
        <v>35.0</v>
      </c>
      <c r="O78" s="248" t="s">
        <v>728</v>
      </c>
      <c r="P78" s="264">
        <v>4588372.0</v>
      </c>
      <c r="Q78" s="39">
        <v>2024.0</v>
      </c>
      <c r="R78" s="249" t="s">
        <v>513</v>
      </c>
      <c r="S78" s="264">
        <v>165756.0</v>
      </c>
      <c r="T78" s="271">
        <v>3612.5231345671186</v>
      </c>
      <c r="V78" s="249"/>
    </row>
    <row r="79">
      <c r="A79" s="255" t="s">
        <v>729</v>
      </c>
      <c r="B79" s="248" t="s">
        <v>530</v>
      </c>
      <c r="C79" s="248" t="s">
        <v>531</v>
      </c>
      <c r="D79" s="248" t="s">
        <v>512</v>
      </c>
      <c r="E79" s="248">
        <v>13516.0</v>
      </c>
      <c r="F79" s="256">
        <v>45371.0</v>
      </c>
      <c r="G79" s="248">
        <v>2024.0</v>
      </c>
      <c r="H79" s="248" t="s">
        <v>513</v>
      </c>
      <c r="I79" s="248" t="s">
        <v>514</v>
      </c>
      <c r="J79" s="248" t="s">
        <v>309</v>
      </c>
      <c r="K79" s="249" t="s">
        <v>730</v>
      </c>
      <c r="L79" s="257" t="s">
        <v>516</v>
      </c>
      <c r="M79" s="249"/>
      <c r="N79" s="255">
        <v>36.0</v>
      </c>
      <c r="O79" s="248" t="s">
        <v>526</v>
      </c>
      <c r="P79" s="264">
        <v>7958180.0</v>
      </c>
      <c r="Q79" s="39">
        <v>2024.0</v>
      </c>
      <c r="R79" s="249" t="s">
        <v>513</v>
      </c>
      <c r="S79" s="264">
        <v>286885.0</v>
      </c>
      <c r="T79" s="271">
        <v>3604.9071521378005</v>
      </c>
      <c r="V79" s="249"/>
    </row>
    <row r="80">
      <c r="A80" s="255" t="s">
        <v>731</v>
      </c>
      <c r="B80" s="248" t="s">
        <v>573</v>
      </c>
      <c r="C80" s="248" t="s">
        <v>574</v>
      </c>
      <c r="D80" s="248" t="s">
        <v>512</v>
      </c>
      <c r="E80" s="248">
        <v>2886.0</v>
      </c>
      <c r="F80" s="256">
        <v>45370.0</v>
      </c>
      <c r="G80" s="248">
        <v>2024.0</v>
      </c>
      <c r="H80" s="248" t="s">
        <v>513</v>
      </c>
      <c r="I80" s="248" t="s">
        <v>514</v>
      </c>
      <c r="J80" s="248" t="s">
        <v>297</v>
      </c>
      <c r="K80" s="249" t="s">
        <v>732</v>
      </c>
      <c r="L80" s="257" t="s">
        <v>516</v>
      </c>
      <c r="M80" s="249"/>
      <c r="N80" s="255">
        <v>37.0</v>
      </c>
      <c r="O80" s="248" t="s">
        <v>733</v>
      </c>
      <c r="P80" s="264">
        <v>8811195.0</v>
      </c>
      <c r="Q80" s="39">
        <v>2024.0</v>
      </c>
      <c r="R80" s="249" t="s">
        <v>513</v>
      </c>
      <c r="S80" s="264">
        <v>256280.0</v>
      </c>
      <c r="T80" s="271">
        <v>2908.572560248638</v>
      </c>
      <c r="V80" s="249"/>
    </row>
    <row r="81">
      <c r="A81" s="255" t="s">
        <v>734</v>
      </c>
      <c r="B81" s="248" t="s">
        <v>607</v>
      </c>
      <c r="C81" s="248" t="s">
        <v>608</v>
      </c>
      <c r="D81" s="248" t="s">
        <v>520</v>
      </c>
      <c r="E81" s="248">
        <v>3396.0</v>
      </c>
      <c r="F81" s="256">
        <v>45369.0</v>
      </c>
      <c r="G81" s="248">
        <v>2024.0</v>
      </c>
      <c r="H81" s="248" t="s">
        <v>546</v>
      </c>
      <c r="I81" s="248" t="s">
        <v>547</v>
      </c>
      <c r="J81" s="248" t="s">
        <v>309</v>
      </c>
      <c r="K81" s="249" t="s">
        <v>735</v>
      </c>
      <c r="L81" s="257" t="s">
        <v>516</v>
      </c>
      <c r="M81" s="249"/>
      <c r="N81" s="255">
        <v>38.0</v>
      </c>
      <c r="O81" s="248" t="s">
        <v>706</v>
      </c>
      <c r="P81" s="264">
        <v>1.1883304E7</v>
      </c>
      <c r="Q81" s="39">
        <v>2024.0</v>
      </c>
      <c r="R81" s="249" t="s">
        <v>513</v>
      </c>
      <c r="S81" s="264">
        <v>341906.0</v>
      </c>
      <c r="T81" s="271">
        <v>2877.1964430094527</v>
      </c>
      <c r="V81" s="249"/>
    </row>
    <row r="82">
      <c r="A82" s="255" t="s">
        <v>687</v>
      </c>
      <c r="B82" s="248" t="s">
        <v>688</v>
      </c>
      <c r="C82" s="248" t="s">
        <v>683</v>
      </c>
      <c r="D82" s="248" t="s">
        <v>520</v>
      </c>
      <c r="E82" s="248">
        <v>1125.0</v>
      </c>
      <c r="F82" s="256">
        <v>45366.0</v>
      </c>
      <c r="G82" s="248">
        <v>2024.0</v>
      </c>
      <c r="H82" s="248" t="s">
        <v>513</v>
      </c>
      <c r="I82" s="248" t="s">
        <v>514</v>
      </c>
      <c r="J82" s="248" t="s">
        <v>309</v>
      </c>
      <c r="K82" s="249" t="s">
        <v>736</v>
      </c>
      <c r="L82" s="257" t="s">
        <v>516</v>
      </c>
      <c r="M82" s="249"/>
      <c r="N82" s="255">
        <v>39.0</v>
      </c>
      <c r="O82" s="248" t="s">
        <v>737</v>
      </c>
      <c r="P82" s="264">
        <v>1137233.0</v>
      </c>
      <c r="Q82" s="39">
        <v>2024.0</v>
      </c>
      <c r="R82" s="249" t="s">
        <v>513</v>
      </c>
      <c r="S82" s="264">
        <v>23100.0</v>
      </c>
      <c r="T82" s="271">
        <v>2031.246015548265</v>
      </c>
      <c r="V82" s="249"/>
    </row>
    <row r="83">
      <c r="A83" s="255" t="s">
        <v>738</v>
      </c>
      <c r="B83" s="248" t="s">
        <v>530</v>
      </c>
      <c r="C83" s="248" t="s">
        <v>531</v>
      </c>
      <c r="D83" s="248" t="s">
        <v>512</v>
      </c>
      <c r="E83" s="248">
        <v>1348.0</v>
      </c>
      <c r="F83" s="256">
        <v>45365.0</v>
      </c>
      <c r="G83" s="248">
        <v>2024.0</v>
      </c>
      <c r="H83" s="248" t="s">
        <v>546</v>
      </c>
      <c r="I83" s="248" t="s">
        <v>521</v>
      </c>
      <c r="J83" s="248" t="s">
        <v>297</v>
      </c>
      <c r="K83" s="249" t="s">
        <v>739</v>
      </c>
      <c r="L83" s="257" t="s">
        <v>516</v>
      </c>
      <c r="M83" s="249"/>
      <c r="N83" s="255">
        <v>40.0</v>
      </c>
      <c r="O83" s="248" t="s">
        <v>740</v>
      </c>
      <c r="P83" s="264">
        <v>1769979.0</v>
      </c>
      <c r="Q83" s="39">
        <v>2024.0</v>
      </c>
      <c r="R83" s="249" t="s">
        <v>513</v>
      </c>
      <c r="S83" s="264">
        <v>35806.0</v>
      </c>
      <c r="T83" s="271">
        <v>2022.9618543496842</v>
      </c>
      <c r="V83" s="249"/>
    </row>
    <row r="84">
      <c r="A84" s="255" t="s">
        <v>741</v>
      </c>
      <c r="B84" s="248" t="s">
        <v>573</v>
      </c>
      <c r="C84" s="248" t="s">
        <v>574</v>
      </c>
      <c r="D84" s="248" t="s">
        <v>575</v>
      </c>
      <c r="E84" s="248">
        <v>6836.0</v>
      </c>
      <c r="F84" s="256">
        <v>45364.0</v>
      </c>
      <c r="G84" s="248">
        <v>2024.0</v>
      </c>
      <c r="H84" s="248" t="s">
        <v>513</v>
      </c>
      <c r="I84" s="248" t="s">
        <v>592</v>
      </c>
      <c r="J84" s="248" t="s">
        <v>297</v>
      </c>
      <c r="K84" s="249" t="s">
        <v>742</v>
      </c>
      <c r="L84" s="257" t="s">
        <v>516</v>
      </c>
      <c r="M84" s="249"/>
      <c r="N84" s="255">
        <v>41.0</v>
      </c>
      <c r="O84" s="248" t="s">
        <v>743</v>
      </c>
      <c r="P84" s="264">
        <v>702250.0</v>
      </c>
      <c r="Q84" s="39">
        <v>2024.0</v>
      </c>
      <c r="R84" s="249" t="s">
        <v>513</v>
      </c>
      <c r="S84" s="264">
        <v>13837.0</v>
      </c>
      <c r="T84" s="271">
        <v>1970.3809184763259</v>
      </c>
      <c r="V84" s="249"/>
    </row>
    <row r="85">
      <c r="A85" s="255" t="s">
        <v>744</v>
      </c>
      <c r="B85" s="248" t="s">
        <v>590</v>
      </c>
      <c r="C85" s="248" t="s">
        <v>591</v>
      </c>
      <c r="D85" s="248" t="s">
        <v>512</v>
      </c>
      <c r="E85" s="248">
        <v>2547.0</v>
      </c>
      <c r="F85" s="256">
        <v>45363.0</v>
      </c>
      <c r="G85" s="248">
        <v>2024.0</v>
      </c>
      <c r="H85" s="248" t="s">
        <v>513</v>
      </c>
      <c r="I85" s="248" t="s">
        <v>521</v>
      </c>
      <c r="J85" s="248" t="s">
        <v>297</v>
      </c>
      <c r="K85" s="249" t="s">
        <v>745</v>
      </c>
      <c r="L85" s="257" t="s">
        <v>516</v>
      </c>
      <c r="M85" s="249"/>
      <c r="N85" s="255">
        <v>42.0</v>
      </c>
      <c r="O85" s="248" t="s">
        <v>746</v>
      </c>
      <c r="P85" s="264">
        <v>587618.0</v>
      </c>
      <c r="Q85" s="39">
        <v>2024.0</v>
      </c>
      <c r="R85" s="249" t="s">
        <v>513</v>
      </c>
      <c r="S85" s="264">
        <v>3636.0</v>
      </c>
      <c r="T85" s="271">
        <v>618.769336541767</v>
      </c>
      <c r="V85" s="249"/>
    </row>
    <row r="86">
      <c r="A86" s="255" t="s">
        <v>747</v>
      </c>
      <c r="B86" s="248" t="s">
        <v>748</v>
      </c>
      <c r="C86" s="248" t="s">
        <v>694</v>
      </c>
      <c r="D86" s="248" t="s">
        <v>512</v>
      </c>
      <c r="E86" s="248">
        <v>39282.0</v>
      </c>
      <c r="F86" s="256">
        <v>45362.0</v>
      </c>
      <c r="G86" s="248">
        <v>2024.0</v>
      </c>
      <c r="H86" s="248" t="s">
        <v>513</v>
      </c>
      <c r="I86" s="248" t="s">
        <v>514</v>
      </c>
      <c r="J86" s="248" t="s">
        <v>297</v>
      </c>
      <c r="K86" s="249" t="s">
        <v>749</v>
      </c>
      <c r="L86" s="257" t="s">
        <v>516</v>
      </c>
      <c r="M86" s="249"/>
      <c r="N86" s="255">
        <v>43.0</v>
      </c>
      <c r="O86" s="248" t="s">
        <v>699</v>
      </c>
      <c r="P86" s="264">
        <v>3267467.0</v>
      </c>
      <c r="Q86" s="39">
        <v>2024.0</v>
      </c>
      <c r="R86" s="249" t="s">
        <v>513</v>
      </c>
      <c r="S86" s="264">
        <v>19852.0</v>
      </c>
      <c r="T86" s="271">
        <v>607.5654321834008</v>
      </c>
      <c r="V86" s="249"/>
    </row>
    <row r="87" ht="16.5" customHeight="1">
      <c r="A87" s="255" t="s">
        <v>750</v>
      </c>
      <c r="B87" s="248" t="s">
        <v>542</v>
      </c>
      <c r="C87" s="248" t="s">
        <v>543</v>
      </c>
      <c r="D87" s="248" t="s">
        <v>520</v>
      </c>
      <c r="E87" s="248">
        <v>42077.0</v>
      </c>
      <c r="F87" s="256">
        <v>45359.0</v>
      </c>
      <c r="G87" s="248">
        <v>2024.0</v>
      </c>
      <c r="H87" s="248" t="s">
        <v>513</v>
      </c>
      <c r="I87" s="248" t="s">
        <v>514</v>
      </c>
      <c r="J87" s="248" t="s">
        <v>309</v>
      </c>
      <c r="K87" s="249" t="s">
        <v>751</v>
      </c>
      <c r="L87" s="257" t="s">
        <v>516</v>
      </c>
      <c r="M87" s="249"/>
      <c r="N87" s="255">
        <v>44.0</v>
      </c>
      <c r="O87" s="248" t="s">
        <v>596</v>
      </c>
      <c r="P87" s="264">
        <v>4272371.0</v>
      </c>
      <c r="Q87" s="39">
        <v>2024.0</v>
      </c>
      <c r="R87" s="249" t="s">
        <v>513</v>
      </c>
      <c r="S87" s="264">
        <v>22147.0</v>
      </c>
      <c r="T87" s="271">
        <v>518.3772663937659</v>
      </c>
      <c r="V87" s="249"/>
    </row>
    <row r="88">
      <c r="A88" s="255" t="s">
        <v>752</v>
      </c>
      <c r="B88" s="248" t="s">
        <v>573</v>
      </c>
      <c r="C88" s="248" t="s">
        <v>574</v>
      </c>
      <c r="D88" s="248" t="s">
        <v>512</v>
      </c>
      <c r="E88" s="248">
        <v>104234.0</v>
      </c>
      <c r="F88" s="256">
        <v>45359.0</v>
      </c>
      <c r="G88" s="248">
        <v>2024.0</v>
      </c>
      <c r="H88" s="248" t="s">
        <v>513</v>
      </c>
      <c r="I88" s="248" t="s">
        <v>514</v>
      </c>
      <c r="J88" s="248" t="s">
        <v>297</v>
      </c>
      <c r="K88" s="249" t="s">
        <v>753</v>
      </c>
      <c r="L88" s="257" t="s">
        <v>516</v>
      </c>
      <c r="M88" s="249"/>
      <c r="N88" s="255">
        <v>45.0</v>
      </c>
      <c r="O88" s="248" t="s">
        <v>754</v>
      </c>
      <c r="P88" s="264">
        <v>2130256.0</v>
      </c>
      <c r="Q88" s="39">
        <v>2024.0</v>
      </c>
      <c r="R88" s="249" t="s">
        <v>513</v>
      </c>
      <c r="S88" s="264">
        <v>8495.0</v>
      </c>
      <c r="T88" s="271">
        <v>398.77836278832217</v>
      </c>
      <c r="V88" s="249"/>
    </row>
    <row r="89">
      <c r="A89" s="255" t="s">
        <v>755</v>
      </c>
      <c r="B89" s="248" t="s">
        <v>530</v>
      </c>
      <c r="C89" s="248" t="s">
        <v>531</v>
      </c>
      <c r="D89" s="248" t="s">
        <v>512</v>
      </c>
      <c r="E89" s="248">
        <v>1286.0</v>
      </c>
      <c r="F89" s="256">
        <v>45358.0</v>
      </c>
      <c r="G89" s="248">
        <v>2024.0</v>
      </c>
      <c r="H89" s="248" t="s">
        <v>513</v>
      </c>
      <c r="I89" s="248" t="s">
        <v>514</v>
      </c>
      <c r="J89" s="248" t="s">
        <v>297</v>
      </c>
      <c r="K89" s="249" t="s">
        <v>756</v>
      </c>
      <c r="L89" s="257" t="s">
        <v>516</v>
      </c>
      <c r="M89" s="249"/>
      <c r="N89" s="255">
        <v>46.0</v>
      </c>
      <c r="O89" s="248" t="s">
        <v>612</v>
      </c>
      <c r="P89" s="264">
        <v>2970606.0</v>
      </c>
      <c r="Q89" s="39">
        <v>2024.0</v>
      </c>
      <c r="R89" s="249" t="s">
        <v>513</v>
      </c>
      <c r="S89" s="264">
        <v>11592.0</v>
      </c>
      <c r="T89" s="271">
        <v>390.22340896099985</v>
      </c>
      <c r="V89" s="249"/>
    </row>
    <row r="90">
      <c r="A90" s="255" t="s">
        <v>757</v>
      </c>
      <c r="B90" s="248" t="s">
        <v>75</v>
      </c>
      <c r="C90" s="248" t="s">
        <v>675</v>
      </c>
      <c r="D90" s="248" t="s">
        <v>575</v>
      </c>
      <c r="E90" s="248">
        <v>1251.0</v>
      </c>
      <c r="F90" s="256">
        <v>45356.0</v>
      </c>
      <c r="G90" s="248">
        <v>2024.0</v>
      </c>
      <c r="H90" s="248" t="s">
        <v>513</v>
      </c>
      <c r="I90" s="248" t="s">
        <v>514</v>
      </c>
      <c r="J90" s="248" t="s">
        <v>297</v>
      </c>
      <c r="K90" s="249" t="s">
        <v>758</v>
      </c>
      <c r="L90" s="257" t="s">
        <v>516</v>
      </c>
      <c r="M90" s="249"/>
      <c r="N90" s="255">
        <v>47.0</v>
      </c>
      <c r="O90" s="248" t="s">
        <v>759</v>
      </c>
      <c r="P90" s="264">
        <v>5478831.0</v>
      </c>
      <c r="Q90" s="39">
        <v>2024.0</v>
      </c>
      <c r="R90" s="249" t="s">
        <v>513</v>
      </c>
      <c r="S90" s="264">
        <v>14341.0</v>
      </c>
      <c r="T90" s="271">
        <v>261.7529177300778</v>
      </c>
      <c r="V90" s="249"/>
    </row>
    <row r="91">
      <c r="A91" s="255" t="s">
        <v>760</v>
      </c>
      <c r="B91" s="248" t="s">
        <v>542</v>
      </c>
      <c r="C91" s="248" t="s">
        <v>543</v>
      </c>
      <c r="D91" s="248" t="s">
        <v>512</v>
      </c>
      <c r="E91" s="248">
        <v>9850.0</v>
      </c>
      <c r="F91" s="256">
        <v>45356.0</v>
      </c>
      <c r="G91" s="248">
        <v>2024.0</v>
      </c>
      <c r="H91" s="248" t="s">
        <v>546</v>
      </c>
      <c r="I91" s="248" t="s">
        <v>521</v>
      </c>
      <c r="J91" s="248" t="s">
        <v>297</v>
      </c>
      <c r="K91" s="249" t="s">
        <v>761</v>
      </c>
      <c r="L91" s="257" t="s">
        <v>516</v>
      </c>
      <c r="M91" s="249"/>
      <c r="N91" s="255">
        <v>48.0</v>
      </c>
      <c r="O91" s="248" t="s">
        <v>762</v>
      </c>
      <c r="P91" s="264">
        <v>1405012.0</v>
      </c>
      <c r="Q91" s="39">
        <v>2024.0</v>
      </c>
      <c r="R91" s="249" t="s">
        <v>513</v>
      </c>
      <c r="S91" s="264">
        <v>0.0</v>
      </c>
      <c r="T91" s="272" t="s">
        <v>347</v>
      </c>
      <c r="V91" s="249"/>
    </row>
    <row r="92">
      <c r="A92" s="255" t="s">
        <v>687</v>
      </c>
      <c r="B92" s="248" t="s">
        <v>688</v>
      </c>
      <c r="C92" s="248" t="s">
        <v>683</v>
      </c>
      <c r="D92" s="248" t="s">
        <v>520</v>
      </c>
      <c r="E92" s="248">
        <v>457152.0</v>
      </c>
      <c r="F92" s="256">
        <v>45355.0</v>
      </c>
      <c r="G92" s="248">
        <v>2024.0</v>
      </c>
      <c r="H92" s="248" t="s">
        <v>513</v>
      </c>
      <c r="I92" s="248" t="s">
        <v>514</v>
      </c>
      <c r="J92" s="248" t="s">
        <v>309</v>
      </c>
      <c r="K92" s="249" t="s">
        <v>763</v>
      </c>
      <c r="L92" s="257" t="s">
        <v>516</v>
      </c>
      <c r="M92" s="249"/>
      <c r="N92" s="255">
        <v>48.0</v>
      </c>
      <c r="O92" s="248" t="s">
        <v>764</v>
      </c>
      <c r="P92" s="264">
        <v>740133.0</v>
      </c>
      <c r="Q92" s="39">
        <v>2024.0</v>
      </c>
      <c r="R92" s="249" t="s">
        <v>513</v>
      </c>
      <c r="S92" s="264">
        <v>0.0</v>
      </c>
      <c r="T92" s="272" t="s">
        <v>347</v>
      </c>
      <c r="V92" s="249"/>
    </row>
    <row r="93">
      <c r="A93" s="255" t="s">
        <v>765</v>
      </c>
      <c r="B93" s="248" t="s">
        <v>525</v>
      </c>
      <c r="C93" s="248" t="s">
        <v>526</v>
      </c>
      <c r="D93" s="248" t="s">
        <v>512</v>
      </c>
      <c r="E93" s="248">
        <v>235249.0</v>
      </c>
      <c r="F93" s="256">
        <v>45352.0</v>
      </c>
      <c r="G93" s="248">
        <v>2024.0</v>
      </c>
      <c r="H93" s="248" t="s">
        <v>513</v>
      </c>
      <c r="I93" s="248" t="s">
        <v>514</v>
      </c>
      <c r="J93" s="248" t="s">
        <v>297</v>
      </c>
      <c r="K93" s="249" t="s">
        <v>66</v>
      </c>
      <c r="L93" s="257" t="s">
        <v>516</v>
      </c>
      <c r="M93" s="249"/>
      <c r="N93" s="255">
        <v>48.0</v>
      </c>
      <c r="O93" s="39" t="s">
        <v>766</v>
      </c>
      <c r="P93" s="273">
        <v>924669.0</v>
      </c>
      <c r="Q93" s="39">
        <v>2024.0</v>
      </c>
      <c r="R93" s="249" t="s">
        <v>513</v>
      </c>
      <c r="S93" s="39">
        <v>0.0</v>
      </c>
      <c r="T93" s="274" t="s">
        <v>347</v>
      </c>
      <c r="V93" s="249"/>
    </row>
    <row r="94">
      <c r="A94" s="255" t="s">
        <v>767</v>
      </c>
      <c r="B94" s="248" t="s">
        <v>530</v>
      </c>
      <c r="C94" s="248" t="s">
        <v>531</v>
      </c>
      <c r="D94" s="248" t="s">
        <v>575</v>
      </c>
      <c r="E94" s="248">
        <v>4211.0</v>
      </c>
      <c r="F94" s="256">
        <v>45351.0</v>
      </c>
      <c r="G94" s="248">
        <v>2024.0</v>
      </c>
      <c r="H94" s="248" t="s">
        <v>513</v>
      </c>
      <c r="I94" s="248" t="s">
        <v>514</v>
      </c>
      <c r="J94" s="248" t="s">
        <v>309</v>
      </c>
      <c r="K94" s="249" t="s">
        <v>768</v>
      </c>
      <c r="L94" s="257" t="s">
        <v>516</v>
      </c>
      <c r="M94" s="249"/>
      <c r="N94" s="255">
        <v>48.0</v>
      </c>
      <c r="O94" s="248" t="s">
        <v>769</v>
      </c>
      <c r="P94" s="273">
        <v>648493.0</v>
      </c>
      <c r="Q94" s="39">
        <v>2024.0</v>
      </c>
      <c r="R94" s="249" t="s">
        <v>513</v>
      </c>
      <c r="S94" s="248">
        <v>0.0</v>
      </c>
      <c r="T94" s="274" t="s">
        <v>347</v>
      </c>
      <c r="U94" s="249"/>
      <c r="V94" s="249"/>
    </row>
    <row r="95">
      <c r="A95" s="255" t="s">
        <v>770</v>
      </c>
      <c r="B95" s="248" t="s">
        <v>586</v>
      </c>
      <c r="C95" s="248" t="s">
        <v>587</v>
      </c>
      <c r="D95" s="248" t="s">
        <v>520</v>
      </c>
      <c r="E95" s="248">
        <v>48802.0</v>
      </c>
      <c r="F95" s="256">
        <v>45351.0</v>
      </c>
      <c r="G95" s="248">
        <v>2024.0</v>
      </c>
      <c r="H95" s="248" t="s">
        <v>513</v>
      </c>
      <c r="I95" s="248" t="s">
        <v>514</v>
      </c>
      <c r="J95" s="248" t="s">
        <v>309</v>
      </c>
      <c r="K95" s="249" t="s">
        <v>771</v>
      </c>
      <c r="L95" s="257" t="s">
        <v>516</v>
      </c>
      <c r="M95" s="249"/>
      <c r="N95" s="275"/>
      <c r="O95" s="276" t="s">
        <v>772</v>
      </c>
      <c r="P95" s="277" t="s">
        <v>347</v>
      </c>
      <c r="Q95" s="56">
        <v>2024.0</v>
      </c>
      <c r="R95" s="278" t="s">
        <v>513</v>
      </c>
      <c r="S95" s="279">
        <v>58205.0</v>
      </c>
      <c r="T95" s="280" t="s">
        <v>347</v>
      </c>
      <c r="U95" s="249"/>
      <c r="V95" s="249"/>
    </row>
    <row r="96">
      <c r="A96" s="255" t="s">
        <v>773</v>
      </c>
      <c r="B96" s="248" t="s">
        <v>748</v>
      </c>
      <c r="C96" s="248" t="s">
        <v>694</v>
      </c>
      <c r="D96" s="248" t="s">
        <v>512</v>
      </c>
      <c r="E96" s="248">
        <v>886746.0</v>
      </c>
      <c r="F96" s="256">
        <v>45351.0</v>
      </c>
      <c r="G96" s="248">
        <v>2024.0</v>
      </c>
      <c r="H96" s="248" t="s">
        <v>513</v>
      </c>
      <c r="I96" s="248" t="s">
        <v>514</v>
      </c>
      <c r="J96" s="248" t="s">
        <v>297</v>
      </c>
      <c r="K96" s="249" t="s">
        <v>774</v>
      </c>
      <c r="L96" s="257" t="s">
        <v>516</v>
      </c>
      <c r="M96" s="249"/>
      <c r="N96" s="249"/>
      <c r="O96" s="249"/>
      <c r="P96" s="249"/>
      <c r="Q96" s="249"/>
      <c r="R96" s="249"/>
      <c r="S96" s="249"/>
      <c r="T96" s="249"/>
      <c r="U96" s="249"/>
      <c r="V96" s="249"/>
    </row>
    <row r="97">
      <c r="A97" s="255" t="s">
        <v>775</v>
      </c>
      <c r="B97" s="248" t="s">
        <v>510</v>
      </c>
      <c r="C97" s="248" t="s">
        <v>511</v>
      </c>
      <c r="D97" s="248" t="s">
        <v>512</v>
      </c>
      <c r="E97" s="248">
        <v>12614.0</v>
      </c>
      <c r="F97" s="256">
        <v>45350.0</v>
      </c>
      <c r="G97" s="248">
        <v>2024.0</v>
      </c>
      <c r="H97" s="248" t="s">
        <v>546</v>
      </c>
      <c r="I97" s="248" t="s">
        <v>521</v>
      </c>
      <c r="J97" s="248" t="s">
        <v>297</v>
      </c>
      <c r="K97" s="249" t="s">
        <v>776</v>
      </c>
      <c r="L97" s="257" t="s">
        <v>516</v>
      </c>
      <c r="M97" s="249"/>
      <c r="N97" s="249"/>
      <c r="O97" s="249"/>
      <c r="P97" s="249"/>
      <c r="Q97" s="249"/>
      <c r="R97" s="249"/>
      <c r="S97" s="249"/>
      <c r="T97" s="249"/>
      <c r="U97" s="249"/>
      <c r="V97" s="249"/>
    </row>
    <row r="98">
      <c r="A98" s="255" t="s">
        <v>777</v>
      </c>
      <c r="B98" s="248" t="s">
        <v>705</v>
      </c>
      <c r="C98" s="248" t="s">
        <v>706</v>
      </c>
      <c r="D98" s="248" t="s">
        <v>512</v>
      </c>
      <c r="E98" s="248">
        <v>5548.0</v>
      </c>
      <c r="F98" s="256">
        <v>45350.0</v>
      </c>
      <c r="G98" s="248">
        <v>2024.0</v>
      </c>
      <c r="H98" s="248" t="s">
        <v>551</v>
      </c>
      <c r="I98" s="248" t="s">
        <v>620</v>
      </c>
      <c r="J98" s="248" t="s">
        <v>297</v>
      </c>
      <c r="K98" s="249" t="s">
        <v>778</v>
      </c>
      <c r="L98" s="257" t="s">
        <v>516</v>
      </c>
      <c r="M98" s="249"/>
      <c r="N98" s="249"/>
      <c r="U98" s="249"/>
      <c r="V98" s="249"/>
    </row>
    <row r="99">
      <c r="A99" s="255" t="s">
        <v>779</v>
      </c>
      <c r="B99" s="248" t="s">
        <v>542</v>
      </c>
      <c r="C99" s="248" t="s">
        <v>543</v>
      </c>
      <c r="D99" s="248" t="s">
        <v>512</v>
      </c>
      <c r="E99" s="248">
        <v>15196.0</v>
      </c>
      <c r="F99" s="256">
        <v>45348.0</v>
      </c>
      <c r="G99" s="248">
        <v>2024.0</v>
      </c>
      <c r="H99" s="248" t="s">
        <v>513</v>
      </c>
      <c r="I99" s="248" t="s">
        <v>514</v>
      </c>
      <c r="J99" s="248" t="s">
        <v>309</v>
      </c>
      <c r="K99" s="249" t="s">
        <v>780</v>
      </c>
      <c r="L99" s="257" t="s">
        <v>516</v>
      </c>
      <c r="M99" s="249"/>
      <c r="N99" s="249"/>
      <c r="O99" s="248"/>
      <c r="P99" s="264"/>
      <c r="Q99" s="248"/>
      <c r="R99" s="249"/>
      <c r="S99" s="264"/>
      <c r="T99" s="264"/>
      <c r="U99" s="249"/>
      <c r="V99" s="249"/>
    </row>
    <row r="100">
      <c r="A100" s="255" t="s">
        <v>781</v>
      </c>
      <c r="B100" s="248" t="s">
        <v>530</v>
      </c>
      <c r="C100" s="248" t="s">
        <v>531</v>
      </c>
      <c r="D100" s="248" t="s">
        <v>512</v>
      </c>
      <c r="E100" s="248">
        <v>105425.0</v>
      </c>
      <c r="F100" s="256">
        <v>45345.0</v>
      </c>
      <c r="G100" s="248">
        <v>2024.0</v>
      </c>
      <c r="H100" s="248" t="s">
        <v>513</v>
      </c>
      <c r="I100" s="248" t="s">
        <v>514</v>
      </c>
      <c r="J100" s="248" t="s">
        <v>309</v>
      </c>
      <c r="K100" s="249" t="s">
        <v>782</v>
      </c>
      <c r="L100" s="257" t="s">
        <v>516</v>
      </c>
      <c r="M100" s="249"/>
      <c r="N100" s="249"/>
      <c r="O100" s="248"/>
      <c r="P100" s="264"/>
      <c r="Q100" s="248"/>
      <c r="R100" s="249"/>
      <c r="S100" s="264"/>
      <c r="T100" s="264"/>
      <c r="U100" s="249"/>
      <c r="V100" s="249"/>
    </row>
    <row r="101">
      <c r="A101" s="255" t="s">
        <v>783</v>
      </c>
      <c r="B101" s="248" t="s">
        <v>530</v>
      </c>
      <c r="C101" s="248" t="s">
        <v>531</v>
      </c>
      <c r="D101" s="248" t="s">
        <v>575</v>
      </c>
      <c r="E101" s="248">
        <v>2324.0</v>
      </c>
      <c r="F101" s="256">
        <v>45345.0</v>
      </c>
      <c r="G101" s="248">
        <v>2024.0</v>
      </c>
      <c r="H101" s="248" t="s">
        <v>513</v>
      </c>
      <c r="I101" s="248" t="s">
        <v>514</v>
      </c>
      <c r="J101" s="248" t="s">
        <v>309</v>
      </c>
      <c r="K101" s="249" t="s">
        <v>784</v>
      </c>
      <c r="L101" s="257" t="s">
        <v>516</v>
      </c>
      <c r="M101" s="249"/>
      <c r="N101" s="249"/>
      <c r="O101" s="248"/>
      <c r="P101" s="264"/>
      <c r="Q101" s="248"/>
      <c r="R101" s="249"/>
      <c r="S101" s="264"/>
      <c r="T101" s="264"/>
      <c r="U101" s="249"/>
      <c r="V101" s="249"/>
    </row>
    <row r="102">
      <c r="A102" s="255" t="s">
        <v>785</v>
      </c>
      <c r="B102" s="248" t="s">
        <v>786</v>
      </c>
      <c r="C102" s="248" t="s">
        <v>717</v>
      </c>
      <c r="D102" s="248" t="s">
        <v>520</v>
      </c>
      <c r="E102" s="248">
        <v>11193.0</v>
      </c>
      <c r="F102" s="256">
        <v>45345.0</v>
      </c>
      <c r="G102" s="248">
        <v>2024.0</v>
      </c>
      <c r="H102" s="248" t="s">
        <v>546</v>
      </c>
      <c r="I102" s="248" t="s">
        <v>547</v>
      </c>
      <c r="J102" s="248" t="s">
        <v>309</v>
      </c>
      <c r="K102" s="249" t="s">
        <v>787</v>
      </c>
      <c r="L102" s="257" t="s">
        <v>516</v>
      </c>
      <c r="M102" s="249"/>
      <c r="N102" s="249"/>
      <c r="O102" s="248"/>
      <c r="P102" s="264"/>
      <c r="Q102" s="248"/>
      <c r="R102" s="249"/>
      <c r="S102" s="264"/>
      <c r="T102" s="264"/>
      <c r="U102" s="249"/>
      <c r="V102" s="249"/>
    </row>
    <row r="103">
      <c r="A103" s="255" t="s">
        <v>788</v>
      </c>
      <c r="B103" s="248" t="s">
        <v>607</v>
      </c>
      <c r="C103" s="248" t="s">
        <v>608</v>
      </c>
      <c r="D103" s="248" t="s">
        <v>512</v>
      </c>
      <c r="E103" s="248">
        <v>29346.0</v>
      </c>
      <c r="F103" s="256">
        <v>45344.0</v>
      </c>
      <c r="G103" s="248">
        <v>2024.0</v>
      </c>
      <c r="H103" s="248" t="s">
        <v>513</v>
      </c>
      <c r="I103" s="248" t="s">
        <v>514</v>
      </c>
      <c r="J103" s="248" t="s">
        <v>297</v>
      </c>
      <c r="K103" s="249" t="s">
        <v>789</v>
      </c>
      <c r="L103" s="257" t="s">
        <v>516</v>
      </c>
      <c r="M103" s="249"/>
      <c r="N103" s="249"/>
      <c r="O103" s="248"/>
      <c r="P103" s="264"/>
      <c r="Q103" s="248"/>
      <c r="R103" s="249"/>
      <c r="S103" s="264"/>
      <c r="T103" s="264"/>
      <c r="U103" s="249"/>
      <c r="V103" s="249"/>
    </row>
    <row r="104">
      <c r="A104" s="255" t="s">
        <v>577</v>
      </c>
      <c r="B104" s="248" t="s">
        <v>578</v>
      </c>
      <c r="C104" s="248" t="s">
        <v>579</v>
      </c>
      <c r="D104" s="248" t="s">
        <v>512</v>
      </c>
      <c r="E104" s="248">
        <v>15503.0</v>
      </c>
      <c r="F104" s="256">
        <v>45343.0</v>
      </c>
      <c r="G104" s="248">
        <v>2024.0</v>
      </c>
      <c r="H104" s="248" t="s">
        <v>513</v>
      </c>
      <c r="I104" s="248" t="s">
        <v>521</v>
      </c>
      <c r="J104" s="248" t="s">
        <v>297</v>
      </c>
      <c r="K104" s="249" t="s">
        <v>790</v>
      </c>
      <c r="L104" s="257" t="s">
        <v>516</v>
      </c>
      <c r="M104" s="249"/>
      <c r="N104" s="249"/>
      <c r="O104" s="248"/>
      <c r="P104" s="264"/>
      <c r="Q104" s="248"/>
      <c r="R104" s="249"/>
      <c r="S104" s="264"/>
      <c r="T104" s="264"/>
      <c r="U104" s="249"/>
      <c r="V104" s="249"/>
    </row>
    <row r="105">
      <c r="A105" s="255" t="s">
        <v>791</v>
      </c>
      <c r="B105" s="248" t="s">
        <v>748</v>
      </c>
      <c r="C105" s="248" t="s">
        <v>694</v>
      </c>
      <c r="D105" s="248" t="s">
        <v>512</v>
      </c>
      <c r="E105" s="248">
        <v>19085.0</v>
      </c>
      <c r="F105" s="256">
        <v>45342.0</v>
      </c>
      <c r="G105" s="248">
        <v>2024.0</v>
      </c>
      <c r="H105" s="248" t="s">
        <v>546</v>
      </c>
      <c r="I105" s="248" t="s">
        <v>514</v>
      </c>
      <c r="J105" s="248" t="s">
        <v>297</v>
      </c>
      <c r="K105" s="249" t="s">
        <v>792</v>
      </c>
      <c r="L105" s="257" t="s">
        <v>516</v>
      </c>
      <c r="M105" s="249"/>
      <c r="N105" s="249"/>
      <c r="O105" s="248"/>
      <c r="P105" s="264"/>
      <c r="Q105" s="248"/>
      <c r="R105" s="249"/>
      <c r="S105" s="264"/>
      <c r="T105" s="264"/>
      <c r="U105" s="249"/>
      <c r="V105" s="249"/>
    </row>
    <row r="106">
      <c r="A106" s="255" t="s">
        <v>793</v>
      </c>
      <c r="B106" s="248" t="s">
        <v>586</v>
      </c>
      <c r="C106" s="248" t="s">
        <v>587</v>
      </c>
      <c r="D106" s="248" t="s">
        <v>512</v>
      </c>
      <c r="E106" s="248">
        <v>121995.0</v>
      </c>
      <c r="F106" s="256">
        <v>45342.0</v>
      </c>
      <c r="G106" s="248">
        <v>2024.0</v>
      </c>
      <c r="H106" s="248" t="s">
        <v>513</v>
      </c>
      <c r="I106" s="248" t="s">
        <v>514</v>
      </c>
      <c r="J106" s="248" t="s">
        <v>297</v>
      </c>
      <c r="K106" s="249" t="s">
        <v>794</v>
      </c>
      <c r="L106" s="257" t="s">
        <v>516</v>
      </c>
      <c r="M106" s="249"/>
      <c r="N106" s="249"/>
      <c r="O106" s="248"/>
      <c r="P106" s="264"/>
      <c r="Q106" s="248"/>
      <c r="R106" s="249"/>
      <c r="S106" s="264"/>
      <c r="T106" s="264"/>
      <c r="U106" s="249"/>
      <c r="V106" s="249"/>
    </row>
    <row r="107">
      <c r="A107" s="255" t="s">
        <v>795</v>
      </c>
      <c r="B107" s="248" t="s">
        <v>530</v>
      </c>
      <c r="C107" s="248" t="s">
        <v>531</v>
      </c>
      <c r="D107" s="248" t="s">
        <v>520</v>
      </c>
      <c r="E107" s="248">
        <v>18347.0</v>
      </c>
      <c r="F107" s="256">
        <v>45338.0</v>
      </c>
      <c r="G107" s="248">
        <v>2024.0</v>
      </c>
      <c r="H107" s="248" t="s">
        <v>546</v>
      </c>
      <c r="I107" s="248" t="s">
        <v>547</v>
      </c>
      <c r="J107" s="248" t="s">
        <v>309</v>
      </c>
      <c r="K107" s="249" t="s">
        <v>796</v>
      </c>
      <c r="L107" s="257" t="s">
        <v>516</v>
      </c>
      <c r="M107" s="249"/>
      <c r="N107" s="249"/>
      <c r="O107" s="248"/>
      <c r="P107" s="264"/>
      <c r="Q107" s="248"/>
      <c r="R107" s="249"/>
      <c r="S107" s="264"/>
      <c r="T107" s="264"/>
      <c r="U107" s="249"/>
      <c r="V107" s="249"/>
    </row>
    <row r="108">
      <c r="A108" s="255" t="s">
        <v>797</v>
      </c>
      <c r="B108" s="248" t="s">
        <v>542</v>
      </c>
      <c r="C108" s="248" t="s">
        <v>543</v>
      </c>
      <c r="D108" s="248" t="s">
        <v>512</v>
      </c>
      <c r="E108" s="248">
        <v>3441.0</v>
      </c>
      <c r="F108" s="256">
        <v>45338.0</v>
      </c>
      <c r="G108" s="248">
        <v>2024.0</v>
      </c>
      <c r="H108" s="248" t="s">
        <v>551</v>
      </c>
      <c r="I108" s="248" t="s">
        <v>592</v>
      </c>
      <c r="J108" s="248" t="s">
        <v>297</v>
      </c>
      <c r="K108" s="249" t="s">
        <v>798</v>
      </c>
      <c r="L108" s="257" t="s">
        <v>516</v>
      </c>
      <c r="M108" s="249"/>
      <c r="N108" s="249"/>
      <c r="O108" s="248"/>
      <c r="P108" s="264"/>
      <c r="Q108" s="248"/>
      <c r="R108" s="249"/>
      <c r="S108" s="264"/>
      <c r="T108" s="264"/>
      <c r="U108" s="249"/>
      <c r="V108" s="249"/>
    </row>
    <row r="109">
      <c r="A109" s="255" t="s">
        <v>799</v>
      </c>
      <c r="B109" s="248" t="s">
        <v>786</v>
      </c>
      <c r="C109" s="248" t="s">
        <v>717</v>
      </c>
      <c r="D109" s="248" t="s">
        <v>512</v>
      </c>
      <c r="E109" s="248">
        <v>1896.0</v>
      </c>
      <c r="F109" s="256">
        <v>45338.0</v>
      </c>
      <c r="G109" s="248">
        <v>2024.0</v>
      </c>
      <c r="H109" s="248" t="s">
        <v>546</v>
      </c>
      <c r="I109" s="248" t="s">
        <v>514</v>
      </c>
      <c r="J109" s="248" t="s">
        <v>297</v>
      </c>
      <c r="K109" s="249" t="s">
        <v>800</v>
      </c>
      <c r="L109" s="257" t="s">
        <v>516</v>
      </c>
      <c r="M109" s="249"/>
      <c r="N109" s="249"/>
      <c r="O109" s="248"/>
      <c r="P109" s="264"/>
      <c r="Q109" s="248"/>
      <c r="R109" s="249"/>
      <c r="S109" s="264"/>
      <c r="T109" s="264"/>
      <c r="U109" s="249"/>
      <c r="V109" s="249"/>
    </row>
    <row r="110">
      <c r="A110" s="255" t="s">
        <v>801</v>
      </c>
      <c r="B110" s="248" t="s">
        <v>530</v>
      </c>
      <c r="C110" s="248" t="s">
        <v>531</v>
      </c>
      <c r="D110" s="248" t="s">
        <v>575</v>
      </c>
      <c r="E110" s="248">
        <v>4102.0</v>
      </c>
      <c r="F110" s="256">
        <v>45337.0</v>
      </c>
      <c r="G110" s="248">
        <v>2024.0</v>
      </c>
      <c r="H110" s="248" t="s">
        <v>513</v>
      </c>
      <c r="I110" s="248" t="s">
        <v>514</v>
      </c>
      <c r="J110" s="248" t="s">
        <v>309</v>
      </c>
      <c r="K110" s="249" t="s">
        <v>802</v>
      </c>
      <c r="L110" s="257" t="s">
        <v>516</v>
      </c>
      <c r="M110" s="249"/>
      <c r="N110" s="249"/>
      <c r="O110" s="248"/>
      <c r="P110" s="264"/>
      <c r="Q110" s="248"/>
      <c r="R110" s="249"/>
      <c r="S110" s="264"/>
      <c r="T110" s="264"/>
      <c r="U110" s="249"/>
      <c r="V110" s="249"/>
    </row>
    <row r="111">
      <c r="A111" s="255" t="s">
        <v>803</v>
      </c>
      <c r="B111" s="248" t="s">
        <v>688</v>
      </c>
      <c r="C111" s="248" t="s">
        <v>683</v>
      </c>
      <c r="D111" s="248" t="s">
        <v>575</v>
      </c>
      <c r="E111" s="248">
        <v>3122.0</v>
      </c>
      <c r="F111" s="256">
        <v>45334.0</v>
      </c>
      <c r="G111" s="248">
        <v>2024.0</v>
      </c>
      <c r="H111" s="248" t="s">
        <v>513</v>
      </c>
      <c r="I111" s="248" t="s">
        <v>514</v>
      </c>
      <c r="J111" s="248" t="s">
        <v>309</v>
      </c>
      <c r="K111" s="249" t="s">
        <v>804</v>
      </c>
      <c r="L111" s="257" t="s">
        <v>516</v>
      </c>
      <c r="M111" s="249"/>
      <c r="N111" s="249"/>
      <c r="O111" s="248"/>
      <c r="P111" s="264"/>
      <c r="Q111" s="248"/>
      <c r="R111" s="249"/>
      <c r="S111" s="264"/>
      <c r="T111" s="264"/>
      <c r="U111" s="249"/>
      <c r="V111" s="249"/>
    </row>
    <row r="112">
      <c r="A112" s="255" t="s">
        <v>805</v>
      </c>
      <c r="B112" s="248" t="s">
        <v>705</v>
      </c>
      <c r="C112" s="248" t="s">
        <v>706</v>
      </c>
      <c r="D112" s="248" t="s">
        <v>512</v>
      </c>
      <c r="E112" s="248">
        <v>51889.0</v>
      </c>
      <c r="F112" s="256">
        <v>45334.0</v>
      </c>
      <c r="G112" s="248">
        <v>2024.0</v>
      </c>
      <c r="H112" s="248" t="s">
        <v>513</v>
      </c>
      <c r="I112" s="248" t="s">
        <v>521</v>
      </c>
      <c r="J112" s="248" t="s">
        <v>297</v>
      </c>
      <c r="K112" s="249" t="s">
        <v>806</v>
      </c>
      <c r="L112" s="257" t="s">
        <v>516</v>
      </c>
      <c r="M112" s="249"/>
      <c r="N112" s="249"/>
      <c r="O112" s="248"/>
      <c r="P112" s="264"/>
      <c r="Q112" s="248"/>
      <c r="R112" s="249"/>
      <c r="S112" s="264"/>
      <c r="T112" s="264"/>
      <c r="U112" s="249"/>
      <c r="V112" s="249"/>
    </row>
    <row r="113">
      <c r="A113" s="255" t="s">
        <v>807</v>
      </c>
      <c r="B113" s="248" t="s">
        <v>530</v>
      </c>
      <c r="C113" s="248" t="s">
        <v>531</v>
      </c>
      <c r="D113" s="248" t="s">
        <v>575</v>
      </c>
      <c r="E113" s="248">
        <v>101135.0</v>
      </c>
      <c r="F113" s="256">
        <v>45331.0</v>
      </c>
      <c r="G113" s="248">
        <v>2024.0</v>
      </c>
      <c r="H113" s="248" t="s">
        <v>513</v>
      </c>
      <c r="I113" s="248" t="s">
        <v>514</v>
      </c>
      <c r="J113" s="248" t="s">
        <v>309</v>
      </c>
      <c r="K113" s="249" t="s">
        <v>808</v>
      </c>
      <c r="L113" s="257" t="s">
        <v>516</v>
      </c>
      <c r="M113" s="249"/>
      <c r="N113" s="249"/>
      <c r="O113" s="248"/>
      <c r="P113" s="264"/>
      <c r="Q113" s="248"/>
      <c r="R113" s="249"/>
      <c r="S113" s="264"/>
      <c r="T113" s="264"/>
      <c r="U113" s="249"/>
      <c r="V113" s="249"/>
    </row>
    <row r="114">
      <c r="A114" s="255" t="s">
        <v>809</v>
      </c>
      <c r="B114" s="248" t="s">
        <v>810</v>
      </c>
      <c r="C114" s="248" t="s">
        <v>655</v>
      </c>
      <c r="D114" s="248" t="s">
        <v>512</v>
      </c>
      <c r="E114" s="248">
        <v>3999.0</v>
      </c>
      <c r="F114" s="256">
        <v>45330.0</v>
      </c>
      <c r="G114" s="248">
        <v>2024.0</v>
      </c>
      <c r="H114" s="248" t="s">
        <v>513</v>
      </c>
      <c r="I114" s="248" t="s">
        <v>514</v>
      </c>
      <c r="J114" s="248" t="s">
        <v>309</v>
      </c>
      <c r="K114" s="249" t="s">
        <v>811</v>
      </c>
      <c r="L114" s="257" t="s">
        <v>516</v>
      </c>
      <c r="M114" s="249"/>
      <c r="N114" s="249"/>
      <c r="O114" s="248"/>
      <c r="P114" s="264"/>
      <c r="Q114" s="248"/>
      <c r="R114" s="249"/>
      <c r="S114" s="264"/>
      <c r="T114" s="264"/>
      <c r="U114" s="249"/>
      <c r="V114" s="249"/>
    </row>
    <row r="115">
      <c r="A115" s="281" t="s">
        <v>812</v>
      </c>
      <c r="B115" s="282" t="s">
        <v>518</v>
      </c>
      <c r="C115" s="282" t="s">
        <v>519</v>
      </c>
      <c r="D115" s="282" t="s">
        <v>520</v>
      </c>
      <c r="E115" s="282">
        <v>2264157.0</v>
      </c>
      <c r="F115" s="283">
        <v>45328.0</v>
      </c>
      <c r="G115" s="282">
        <v>2024.0</v>
      </c>
      <c r="H115" s="282" t="s">
        <v>513</v>
      </c>
      <c r="I115" s="282" t="s">
        <v>514</v>
      </c>
      <c r="J115" s="282" t="s">
        <v>309</v>
      </c>
      <c r="K115" s="284" t="s">
        <v>813</v>
      </c>
      <c r="L115" s="285" t="s">
        <v>516</v>
      </c>
      <c r="M115" s="249"/>
      <c r="N115" s="249"/>
      <c r="O115" s="248"/>
      <c r="P115" s="264"/>
      <c r="Q115" s="248"/>
      <c r="R115" s="249"/>
      <c r="S115" s="264"/>
      <c r="T115" s="264"/>
      <c r="U115" s="249"/>
      <c r="V115" s="249"/>
    </row>
    <row r="116">
      <c r="A116" s="255" t="s">
        <v>814</v>
      </c>
      <c r="B116" s="248" t="s">
        <v>815</v>
      </c>
      <c r="C116" s="248" t="s">
        <v>728</v>
      </c>
      <c r="D116" s="248" t="s">
        <v>575</v>
      </c>
      <c r="E116" s="248">
        <v>6440.0</v>
      </c>
      <c r="F116" s="256">
        <v>45328.0</v>
      </c>
      <c r="G116" s="248">
        <v>2024.0</v>
      </c>
      <c r="H116" s="248" t="s">
        <v>546</v>
      </c>
      <c r="I116" s="248" t="s">
        <v>547</v>
      </c>
      <c r="J116" s="248" t="s">
        <v>297</v>
      </c>
      <c r="K116" s="249" t="s">
        <v>816</v>
      </c>
      <c r="L116" s="257" t="s">
        <v>516</v>
      </c>
      <c r="M116" s="249"/>
      <c r="N116" s="249"/>
      <c r="O116" s="248"/>
      <c r="P116" s="264"/>
      <c r="Q116" s="248"/>
      <c r="R116" s="249"/>
      <c r="S116" s="264"/>
      <c r="T116" s="264"/>
      <c r="U116" s="249"/>
      <c r="V116" s="249"/>
    </row>
    <row r="117">
      <c r="A117" s="255" t="s">
        <v>817</v>
      </c>
      <c r="B117" s="248" t="s">
        <v>586</v>
      </c>
      <c r="C117" s="248" t="s">
        <v>587</v>
      </c>
      <c r="D117" s="248" t="s">
        <v>575</v>
      </c>
      <c r="E117" s="248">
        <v>6900.0</v>
      </c>
      <c r="F117" s="256">
        <v>45324.0</v>
      </c>
      <c r="G117" s="248">
        <v>2024.0</v>
      </c>
      <c r="H117" s="248" t="s">
        <v>513</v>
      </c>
      <c r="I117" s="248" t="s">
        <v>514</v>
      </c>
      <c r="J117" s="248" t="s">
        <v>309</v>
      </c>
      <c r="K117" s="249" t="s">
        <v>818</v>
      </c>
      <c r="L117" s="257" t="s">
        <v>516</v>
      </c>
      <c r="M117" s="249"/>
      <c r="N117" s="249"/>
      <c r="O117" s="248"/>
      <c r="P117" s="264"/>
      <c r="Q117" s="248"/>
      <c r="R117" s="249"/>
      <c r="S117" s="264"/>
      <c r="T117" s="264"/>
      <c r="U117" s="249"/>
      <c r="V117" s="249"/>
    </row>
    <row r="118">
      <c r="A118" s="255" t="s">
        <v>819</v>
      </c>
      <c r="B118" s="248" t="s">
        <v>586</v>
      </c>
      <c r="C118" s="248" t="s">
        <v>587</v>
      </c>
      <c r="D118" s="248" t="s">
        <v>512</v>
      </c>
      <c r="E118" s="248">
        <v>360220.0</v>
      </c>
      <c r="F118" s="256">
        <v>45321.0</v>
      </c>
      <c r="G118" s="248">
        <v>2024.0</v>
      </c>
      <c r="H118" s="248" t="s">
        <v>513</v>
      </c>
      <c r="I118" s="248" t="s">
        <v>514</v>
      </c>
      <c r="J118" s="248" t="s">
        <v>297</v>
      </c>
      <c r="K118" s="249" t="s">
        <v>820</v>
      </c>
      <c r="L118" s="257" t="s">
        <v>516</v>
      </c>
      <c r="M118" s="249"/>
      <c r="N118" s="249"/>
      <c r="O118" s="248"/>
      <c r="P118" s="264"/>
      <c r="Q118" s="248"/>
      <c r="R118" s="249"/>
      <c r="S118" s="264"/>
      <c r="T118" s="264"/>
      <c r="U118" s="249"/>
      <c r="V118" s="249"/>
    </row>
    <row r="119">
      <c r="A119" s="255" t="s">
        <v>821</v>
      </c>
      <c r="B119" s="248" t="s">
        <v>542</v>
      </c>
      <c r="C119" s="248" t="s">
        <v>543</v>
      </c>
      <c r="D119" s="248" t="s">
        <v>512</v>
      </c>
      <c r="E119" s="248">
        <v>11709.0</v>
      </c>
      <c r="F119" s="256">
        <v>45321.0</v>
      </c>
      <c r="G119" s="248">
        <v>2024.0</v>
      </c>
      <c r="H119" s="248" t="s">
        <v>513</v>
      </c>
      <c r="I119" s="248" t="s">
        <v>521</v>
      </c>
      <c r="J119" s="248" t="s">
        <v>309</v>
      </c>
      <c r="K119" s="249" t="s">
        <v>822</v>
      </c>
      <c r="L119" s="257" t="s">
        <v>516</v>
      </c>
      <c r="M119" s="249"/>
      <c r="N119" s="249"/>
      <c r="O119" s="248"/>
      <c r="P119" s="264"/>
      <c r="Q119" s="248"/>
      <c r="R119" s="249"/>
      <c r="S119" s="264"/>
      <c r="T119" s="264"/>
      <c r="U119" s="249"/>
      <c r="V119" s="249"/>
    </row>
    <row r="120">
      <c r="A120" s="255" t="s">
        <v>823</v>
      </c>
      <c r="B120" s="248" t="s">
        <v>824</v>
      </c>
      <c r="C120" s="248" t="s">
        <v>743</v>
      </c>
      <c r="D120" s="248" t="s">
        <v>512</v>
      </c>
      <c r="E120" s="248">
        <v>46677.0</v>
      </c>
      <c r="F120" s="256">
        <v>45321.0</v>
      </c>
      <c r="G120" s="248">
        <v>2024.0</v>
      </c>
      <c r="H120" s="248" t="s">
        <v>546</v>
      </c>
      <c r="I120" s="248" t="s">
        <v>547</v>
      </c>
      <c r="J120" s="248" t="s">
        <v>297</v>
      </c>
      <c r="K120" s="249" t="s">
        <v>825</v>
      </c>
      <c r="L120" s="257" t="s">
        <v>516</v>
      </c>
      <c r="M120" s="249"/>
      <c r="N120" s="249"/>
      <c r="O120" s="248"/>
      <c r="P120" s="264"/>
      <c r="Q120" s="248"/>
      <c r="R120" s="249"/>
      <c r="S120" s="264"/>
      <c r="T120" s="264"/>
      <c r="U120" s="249"/>
      <c r="V120" s="249"/>
    </row>
    <row r="121">
      <c r="A121" s="255" t="s">
        <v>826</v>
      </c>
      <c r="B121" s="248" t="s">
        <v>553</v>
      </c>
      <c r="C121" s="248" t="s">
        <v>554</v>
      </c>
      <c r="D121" s="248" t="s">
        <v>575</v>
      </c>
      <c r="E121" s="248">
        <v>1270.0</v>
      </c>
      <c r="F121" s="256">
        <v>45320.0</v>
      </c>
      <c r="G121" s="248">
        <v>2024.0</v>
      </c>
      <c r="H121" s="248" t="s">
        <v>513</v>
      </c>
      <c r="I121" s="248" t="s">
        <v>514</v>
      </c>
      <c r="J121" s="248" t="s">
        <v>309</v>
      </c>
      <c r="K121" s="249" t="s">
        <v>827</v>
      </c>
      <c r="L121" s="257" t="s">
        <v>516</v>
      </c>
      <c r="M121" s="249"/>
      <c r="N121" s="249"/>
      <c r="O121" s="248"/>
      <c r="P121" s="264"/>
      <c r="Q121" s="248"/>
      <c r="R121" s="249"/>
      <c r="S121" s="264"/>
      <c r="T121" s="264"/>
      <c r="U121" s="249"/>
      <c r="V121" s="249"/>
    </row>
    <row r="122">
      <c r="A122" s="255" t="s">
        <v>828</v>
      </c>
      <c r="B122" s="248" t="s">
        <v>518</v>
      </c>
      <c r="C122" s="248" t="s">
        <v>519</v>
      </c>
      <c r="D122" s="248" t="s">
        <v>512</v>
      </c>
      <c r="E122" s="248">
        <v>2988.0</v>
      </c>
      <c r="F122" s="256">
        <v>45318.0</v>
      </c>
      <c r="G122" s="248">
        <v>2024.0</v>
      </c>
      <c r="H122" s="248" t="s">
        <v>513</v>
      </c>
      <c r="I122" s="248" t="s">
        <v>514</v>
      </c>
      <c r="J122" s="248" t="s">
        <v>297</v>
      </c>
      <c r="K122" s="249" t="s">
        <v>829</v>
      </c>
      <c r="L122" s="257" t="s">
        <v>516</v>
      </c>
      <c r="M122" s="249"/>
      <c r="N122" s="249"/>
      <c r="O122" s="248"/>
      <c r="P122" s="264"/>
      <c r="Q122" s="248"/>
      <c r="R122" s="249"/>
      <c r="S122" s="264"/>
      <c r="T122" s="264"/>
      <c r="U122" s="249"/>
      <c r="V122" s="249"/>
    </row>
    <row r="123">
      <c r="A123" s="255" t="s">
        <v>830</v>
      </c>
      <c r="B123" s="248" t="s">
        <v>831</v>
      </c>
      <c r="C123" s="248" t="s">
        <v>754</v>
      </c>
      <c r="D123" s="248" t="s">
        <v>512</v>
      </c>
      <c r="E123" s="248">
        <v>2931.0</v>
      </c>
      <c r="F123" s="256">
        <v>45317.0</v>
      </c>
      <c r="G123" s="248">
        <v>2024.0</v>
      </c>
      <c r="H123" s="248" t="s">
        <v>546</v>
      </c>
      <c r="I123" s="248" t="s">
        <v>547</v>
      </c>
      <c r="J123" s="248" t="s">
        <v>297</v>
      </c>
      <c r="K123" s="249" t="s">
        <v>832</v>
      </c>
      <c r="L123" s="257" t="s">
        <v>516</v>
      </c>
      <c r="M123" s="249"/>
      <c r="N123" s="249"/>
      <c r="O123" s="248"/>
      <c r="P123" s="264"/>
      <c r="Q123" s="248"/>
      <c r="R123" s="249"/>
      <c r="S123" s="264"/>
      <c r="T123" s="264"/>
      <c r="U123" s="249"/>
      <c r="V123" s="249"/>
    </row>
    <row r="124">
      <c r="A124" s="255" t="s">
        <v>833</v>
      </c>
      <c r="B124" s="248" t="s">
        <v>553</v>
      </c>
      <c r="C124" s="248" t="s">
        <v>554</v>
      </c>
      <c r="D124" s="248" t="s">
        <v>575</v>
      </c>
      <c r="E124" s="248">
        <v>5326.0</v>
      </c>
      <c r="F124" s="256">
        <v>45317.0</v>
      </c>
      <c r="G124" s="248">
        <v>2024.0</v>
      </c>
      <c r="H124" s="248" t="s">
        <v>513</v>
      </c>
      <c r="I124" s="248" t="s">
        <v>514</v>
      </c>
      <c r="J124" s="248" t="s">
        <v>309</v>
      </c>
      <c r="K124" s="249" t="s">
        <v>834</v>
      </c>
      <c r="L124" s="257" t="s">
        <v>516</v>
      </c>
      <c r="M124" s="249"/>
      <c r="N124" s="249"/>
      <c r="O124" s="248"/>
      <c r="P124" s="264"/>
      <c r="Q124" s="248"/>
      <c r="R124" s="249"/>
      <c r="S124" s="264"/>
      <c r="T124" s="264"/>
      <c r="U124" s="249"/>
      <c r="V124" s="249"/>
    </row>
    <row r="125">
      <c r="A125" s="255" t="s">
        <v>835</v>
      </c>
      <c r="B125" s="248" t="s">
        <v>679</v>
      </c>
      <c r="C125" s="248" t="s">
        <v>663</v>
      </c>
      <c r="D125" s="248" t="s">
        <v>512</v>
      </c>
      <c r="E125" s="248">
        <v>36900.0</v>
      </c>
      <c r="F125" s="256">
        <v>45317.0</v>
      </c>
      <c r="G125" s="248">
        <v>2024.0</v>
      </c>
      <c r="H125" s="248" t="s">
        <v>513</v>
      </c>
      <c r="I125" s="248" t="s">
        <v>514</v>
      </c>
      <c r="J125" s="248" t="s">
        <v>309</v>
      </c>
      <c r="K125" s="249" t="s">
        <v>836</v>
      </c>
      <c r="L125" s="257" t="s">
        <v>516</v>
      </c>
      <c r="M125" s="249"/>
      <c r="N125" s="249"/>
      <c r="O125" s="248"/>
      <c r="P125" s="264"/>
      <c r="Q125" s="248"/>
      <c r="R125" s="249"/>
      <c r="S125" s="264"/>
      <c r="T125" s="264"/>
      <c r="U125" s="249"/>
      <c r="V125" s="249"/>
    </row>
    <row r="126">
      <c r="A126" s="255" t="s">
        <v>837</v>
      </c>
      <c r="B126" s="248" t="s">
        <v>525</v>
      </c>
      <c r="C126" s="248" t="s">
        <v>526</v>
      </c>
      <c r="D126" s="248" t="s">
        <v>512</v>
      </c>
      <c r="E126" s="248">
        <v>1695.0</v>
      </c>
      <c r="F126" s="256">
        <v>45314.0</v>
      </c>
      <c r="G126" s="248">
        <v>2024.0</v>
      </c>
      <c r="H126" s="248" t="s">
        <v>513</v>
      </c>
      <c r="I126" s="248" t="s">
        <v>514</v>
      </c>
      <c r="J126" s="248" t="s">
        <v>297</v>
      </c>
      <c r="K126" s="249" t="s">
        <v>838</v>
      </c>
      <c r="L126" s="257" t="s">
        <v>516</v>
      </c>
      <c r="M126" s="249"/>
      <c r="N126" s="249"/>
      <c r="O126" s="248"/>
      <c r="P126" s="264"/>
      <c r="Q126" s="248"/>
      <c r="R126" s="249"/>
      <c r="S126" s="264"/>
      <c r="T126" s="264"/>
      <c r="U126" s="249"/>
      <c r="V126" s="249"/>
    </row>
    <row r="127">
      <c r="A127" s="255" t="s">
        <v>839</v>
      </c>
      <c r="B127" s="248" t="s">
        <v>530</v>
      </c>
      <c r="C127" s="248" t="s">
        <v>531</v>
      </c>
      <c r="D127" s="248" t="s">
        <v>520</v>
      </c>
      <c r="E127" s="248">
        <v>2570.0</v>
      </c>
      <c r="F127" s="256">
        <v>45313.0</v>
      </c>
      <c r="G127" s="248">
        <v>2024.0</v>
      </c>
      <c r="H127" s="248" t="s">
        <v>513</v>
      </c>
      <c r="I127" s="248" t="s">
        <v>521</v>
      </c>
      <c r="J127" s="248" t="s">
        <v>309</v>
      </c>
      <c r="K127" s="249" t="s">
        <v>840</v>
      </c>
      <c r="L127" s="257" t="s">
        <v>516</v>
      </c>
      <c r="M127" s="249"/>
      <c r="N127" s="249"/>
      <c r="O127" s="248"/>
      <c r="P127" s="264"/>
      <c r="Q127" s="248"/>
      <c r="R127" s="249"/>
      <c r="S127" s="264"/>
      <c r="T127" s="264"/>
      <c r="U127" s="249"/>
      <c r="V127" s="249"/>
    </row>
    <row r="128">
      <c r="A128" s="255" t="s">
        <v>814</v>
      </c>
      <c r="B128" s="248" t="s">
        <v>815</v>
      </c>
      <c r="C128" s="248" t="s">
        <v>728</v>
      </c>
      <c r="D128" s="248" t="s">
        <v>575</v>
      </c>
      <c r="E128" s="248">
        <v>12539.0</v>
      </c>
      <c r="F128" s="256">
        <v>45313.0</v>
      </c>
      <c r="G128" s="248">
        <v>2024.0</v>
      </c>
      <c r="H128" s="248" t="s">
        <v>546</v>
      </c>
      <c r="I128" s="248" t="s">
        <v>547</v>
      </c>
      <c r="J128" s="248" t="s">
        <v>297</v>
      </c>
      <c r="K128" s="249" t="s">
        <v>841</v>
      </c>
      <c r="L128" s="257" t="s">
        <v>516</v>
      </c>
      <c r="M128" s="249"/>
      <c r="N128" s="249"/>
      <c r="O128" s="248"/>
      <c r="P128" s="264"/>
      <c r="Q128" s="248"/>
      <c r="R128" s="249"/>
      <c r="S128" s="264"/>
      <c r="T128" s="264"/>
      <c r="U128" s="249"/>
      <c r="V128" s="249"/>
    </row>
    <row r="129">
      <c r="A129" s="255" t="s">
        <v>842</v>
      </c>
      <c r="B129" s="248" t="s">
        <v>542</v>
      </c>
      <c r="C129" s="248" t="s">
        <v>543</v>
      </c>
      <c r="D129" s="248" t="s">
        <v>512</v>
      </c>
      <c r="E129" s="248">
        <v>1170.0</v>
      </c>
      <c r="F129" s="256">
        <v>45313.0</v>
      </c>
      <c r="G129" s="248">
        <v>2024.0</v>
      </c>
      <c r="H129" s="248" t="s">
        <v>513</v>
      </c>
      <c r="I129" s="248" t="s">
        <v>514</v>
      </c>
      <c r="J129" s="248" t="s">
        <v>297</v>
      </c>
      <c r="K129" s="249" t="s">
        <v>843</v>
      </c>
      <c r="L129" s="257" t="s">
        <v>516</v>
      </c>
      <c r="M129" s="249"/>
      <c r="N129" s="249"/>
      <c r="O129" s="248"/>
      <c r="P129" s="264"/>
      <c r="Q129" s="248"/>
      <c r="R129" s="249"/>
      <c r="S129" s="264"/>
      <c r="T129" s="264"/>
      <c r="U129" s="249"/>
      <c r="V129" s="249"/>
    </row>
    <row r="130">
      <c r="A130" s="255" t="s">
        <v>844</v>
      </c>
      <c r="B130" s="248" t="s">
        <v>845</v>
      </c>
      <c r="C130" s="248" t="s">
        <v>733</v>
      </c>
      <c r="D130" s="248" t="s">
        <v>512</v>
      </c>
      <c r="E130" s="248">
        <v>1074.0</v>
      </c>
      <c r="F130" s="256">
        <v>45310.0</v>
      </c>
      <c r="G130" s="248">
        <v>2024.0</v>
      </c>
      <c r="H130" s="248" t="s">
        <v>546</v>
      </c>
      <c r="I130" s="248" t="s">
        <v>521</v>
      </c>
      <c r="J130" s="248" t="s">
        <v>297</v>
      </c>
      <c r="K130" s="249" t="s">
        <v>846</v>
      </c>
      <c r="L130" s="257" t="s">
        <v>516</v>
      </c>
      <c r="M130" s="249"/>
      <c r="N130" s="249"/>
      <c r="O130" s="248"/>
      <c r="P130" s="264"/>
      <c r="Q130" s="248"/>
      <c r="R130" s="249"/>
      <c r="S130" s="264"/>
      <c r="T130" s="264"/>
      <c r="U130" s="249"/>
      <c r="V130" s="249"/>
    </row>
    <row r="131">
      <c r="A131" s="255" t="s">
        <v>847</v>
      </c>
      <c r="B131" s="248" t="s">
        <v>748</v>
      </c>
      <c r="C131" s="248" t="s">
        <v>694</v>
      </c>
      <c r="D131" s="248" t="s">
        <v>512</v>
      </c>
      <c r="E131" s="248">
        <v>132887.0</v>
      </c>
      <c r="F131" s="256">
        <v>45310.0</v>
      </c>
      <c r="G131" s="248">
        <v>2024.0</v>
      </c>
      <c r="H131" s="248" t="s">
        <v>513</v>
      </c>
      <c r="I131" s="248" t="s">
        <v>514</v>
      </c>
      <c r="J131" s="248" t="s">
        <v>297</v>
      </c>
      <c r="K131" s="249" t="s">
        <v>848</v>
      </c>
      <c r="L131" s="257" t="s">
        <v>516</v>
      </c>
      <c r="M131" s="249"/>
      <c r="N131" s="249"/>
      <c r="O131" s="248"/>
      <c r="P131" s="264"/>
      <c r="Q131" s="248"/>
      <c r="R131" s="249"/>
      <c r="S131" s="264"/>
      <c r="T131" s="264"/>
      <c r="U131" s="249"/>
      <c r="V131" s="249"/>
    </row>
    <row r="132">
      <c r="A132" s="255" t="s">
        <v>849</v>
      </c>
      <c r="B132" s="248" t="s">
        <v>850</v>
      </c>
      <c r="C132" s="248" t="s">
        <v>723</v>
      </c>
      <c r="D132" s="248" t="s">
        <v>520</v>
      </c>
      <c r="E132" s="248">
        <v>13655.0</v>
      </c>
      <c r="F132" s="256">
        <v>45308.0</v>
      </c>
      <c r="G132" s="248">
        <v>2024.0</v>
      </c>
      <c r="H132" s="248" t="s">
        <v>513</v>
      </c>
      <c r="I132" s="248" t="s">
        <v>514</v>
      </c>
      <c r="J132" s="248" t="s">
        <v>309</v>
      </c>
      <c r="K132" s="249" t="s">
        <v>851</v>
      </c>
      <c r="L132" s="257" t="s">
        <v>516</v>
      </c>
      <c r="M132" s="249"/>
      <c r="N132" s="249"/>
      <c r="O132" s="248"/>
      <c r="P132" s="264"/>
      <c r="Q132" s="248"/>
      <c r="R132" s="249"/>
      <c r="S132" s="264"/>
      <c r="T132" s="264"/>
      <c r="U132" s="249"/>
      <c r="V132" s="249"/>
    </row>
    <row r="133">
      <c r="A133" s="255" t="s">
        <v>852</v>
      </c>
      <c r="B133" s="248" t="s">
        <v>727</v>
      </c>
      <c r="C133" s="248" t="s">
        <v>658</v>
      </c>
      <c r="D133" s="248" t="s">
        <v>512</v>
      </c>
      <c r="E133" s="248">
        <v>6020.0</v>
      </c>
      <c r="F133" s="256">
        <v>45304.0</v>
      </c>
      <c r="G133" s="248">
        <v>2024.0</v>
      </c>
      <c r="H133" s="248" t="s">
        <v>513</v>
      </c>
      <c r="I133" s="248" t="s">
        <v>514</v>
      </c>
      <c r="J133" s="248" t="s">
        <v>297</v>
      </c>
      <c r="K133" s="249" t="s">
        <v>853</v>
      </c>
      <c r="L133" s="257" t="s">
        <v>516</v>
      </c>
      <c r="M133" s="249"/>
      <c r="N133" s="249"/>
      <c r="O133" s="248"/>
      <c r="P133" s="264"/>
      <c r="Q133" s="248"/>
      <c r="R133" s="249"/>
      <c r="S133" s="264"/>
      <c r="T133" s="264"/>
      <c r="U133" s="249"/>
      <c r="V133" s="249"/>
    </row>
    <row r="134">
      <c r="A134" s="255" t="s">
        <v>854</v>
      </c>
      <c r="B134" s="248" t="s">
        <v>586</v>
      </c>
      <c r="C134" s="248" t="s">
        <v>587</v>
      </c>
      <c r="D134" s="248" t="s">
        <v>512</v>
      </c>
      <c r="E134" s="248">
        <v>6194.0</v>
      </c>
      <c r="F134" s="256">
        <v>45303.0</v>
      </c>
      <c r="G134" s="248">
        <v>2024.0</v>
      </c>
      <c r="H134" s="248" t="s">
        <v>513</v>
      </c>
      <c r="I134" s="248" t="s">
        <v>521</v>
      </c>
      <c r="J134" s="248" t="s">
        <v>297</v>
      </c>
      <c r="K134" s="249" t="s">
        <v>855</v>
      </c>
      <c r="L134" s="257" t="s">
        <v>516</v>
      </c>
      <c r="M134" s="249"/>
      <c r="N134" s="249"/>
      <c r="O134" s="248"/>
      <c r="P134" s="264"/>
      <c r="Q134" s="248"/>
      <c r="R134" s="249"/>
      <c r="S134" s="264"/>
      <c r="T134" s="264"/>
      <c r="U134" s="249"/>
      <c r="V134" s="249"/>
    </row>
    <row r="135">
      <c r="A135" s="255" t="s">
        <v>856</v>
      </c>
      <c r="B135" s="248" t="s">
        <v>525</v>
      </c>
      <c r="C135" s="248" t="s">
        <v>526</v>
      </c>
      <c r="D135" s="248" t="s">
        <v>512</v>
      </c>
      <c r="E135" s="248">
        <v>9967.0</v>
      </c>
      <c r="F135" s="256">
        <v>45303.0</v>
      </c>
      <c r="G135" s="248">
        <v>2024.0</v>
      </c>
      <c r="H135" s="248" t="s">
        <v>513</v>
      </c>
      <c r="I135" s="248" t="s">
        <v>514</v>
      </c>
      <c r="J135" s="248" t="s">
        <v>297</v>
      </c>
      <c r="K135" s="249" t="s">
        <v>857</v>
      </c>
      <c r="L135" s="257" t="s">
        <v>516</v>
      </c>
      <c r="M135" s="249"/>
      <c r="N135" s="249"/>
      <c r="O135" s="248"/>
      <c r="P135" s="264"/>
      <c r="Q135" s="248"/>
      <c r="R135" s="249"/>
      <c r="S135" s="264"/>
      <c r="T135" s="264"/>
      <c r="U135" s="249"/>
      <c r="V135" s="249"/>
    </row>
    <row r="136">
      <c r="A136" s="255" t="s">
        <v>858</v>
      </c>
      <c r="B136" s="248" t="s">
        <v>75</v>
      </c>
      <c r="C136" s="248" t="s">
        <v>675</v>
      </c>
      <c r="D136" s="248" t="s">
        <v>512</v>
      </c>
      <c r="E136" s="248">
        <v>4135.0</v>
      </c>
      <c r="F136" s="256">
        <v>45303.0</v>
      </c>
      <c r="G136" s="248">
        <v>2024.0</v>
      </c>
      <c r="H136" s="248" t="s">
        <v>513</v>
      </c>
      <c r="I136" s="248" t="s">
        <v>521</v>
      </c>
      <c r="J136" s="248" t="s">
        <v>297</v>
      </c>
      <c r="K136" s="249" t="s">
        <v>859</v>
      </c>
      <c r="L136" s="257" t="s">
        <v>516</v>
      </c>
      <c r="M136" s="249"/>
      <c r="N136" s="249"/>
      <c r="O136" s="248"/>
      <c r="P136" s="264"/>
      <c r="Q136" s="248"/>
      <c r="R136" s="249"/>
      <c r="S136" s="264"/>
      <c r="T136" s="264"/>
      <c r="U136" s="249"/>
      <c r="V136" s="249"/>
    </row>
    <row r="137">
      <c r="A137" s="255" t="s">
        <v>860</v>
      </c>
      <c r="B137" s="248" t="s">
        <v>698</v>
      </c>
      <c r="C137" s="248" t="s">
        <v>699</v>
      </c>
      <c r="D137" s="248" t="s">
        <v>512</v>
      </c>
      <c r="E137" s="248">
        <v>34063.0</v>
      </c>
      <c r="F137" s="256">
        <v>45303.0</v>
      </c>
      <c r="G137" s="248">
        <v>2024.0</v>
      </c>
      <c r="H137" s="248" t="s">
        <v>551</v>
      </c>
      <c r="I137" s="248" t="s">
        <v>620</v>
      </c>
      <c r="J137" s="248" t="s">
        <v>297</v>
      </c>
      <c r="K137" s="249" t="s">
        <v>861</v>
      </c>
      <c r="L137" s="257" t="s">
        <v>516</v>
      </c>
      <c r="M137" s="249"/>
      <c r="N137" s="249"/>
      <c r="O137" s="248"/>
      <c r="P137" s="264"/>
      <c r="Q137" s="248"/>
      <c r="R137" s="249"/>
      <c r="S137" s="264"/>
      <c r="T137" s="264"/>
      <c r="U137" s="249"/>
      <c r="V137" s="249"/>
    </row>
    <row r="138">
      <c r="A138" s="255" t="s">
        <v>862</v>
      </c>
      <c r="B138" s="248" t="s">
        <v>607</v>
      </c>
      <c r="C138" s="248" t="s">
        <v>608</v>
      </c>
      <c r="D138" s="248" t="s">
        <v>520</v>
      </c>
      <c r="E138" s="248">
        <v>19893.0</v>
      </c>
      <c r="F138" s="256">
        <v>45300.0</v>
      </c>
      <c r="G138" s="248">
        <v>2024.0</v>
      </c>
      <c r="H138" s="248" t="s">
        <v>513</v>
      </c>
      <c r="I138" s="248" t="s">
        <v>514</v>
      </c>
      <c r="J138" s="248" t="s">
        <v>309</v>
      </c>
      <c r="K138" s="249" t="s">
        <v>863</v>
      </c>
      <c r="L138" s="257" t="s">
        <v>516</v>
      </c>
      <c r="M138" s="249"/>
      <c r="N138" s="249"/>
      <c r="O138" s="248"/>
      <c r="P138" s="264"/>
      <c r="Q138" s="248"/>
      <c r="R138" s="249"/>
      <c r="S138" s="264"/>
      <c r="T138" s="264"/>
      <c r="U138" s="249"/>
      <c r="V138" s="249"/>
    </row>
    <row r="139">
      <c r="A139" s="255" t="s">
        <v>864</v>
      </c>
      <c r="B139" s="248" t="s">
        <v>679</v>
      </c>
      <c r="C139" s="248" t="s">
        <v>663</v>
      </c>
      <c r="D139" s="248" t="s">
        <v>512</v>
      </c>
      <c r="E139" s="248">
        <v>45357.0</v>
      </c>
      <c r="F139" s="256">
        <v>45300.0</v>
      </c>
      <c r="G139" s="248">
        <v>2024.0</v>
      </c>
      <c r="H139" s="248" t="s">
        <v>513</v>
      </c>
      <c r="I139" s="248" t="s">
        <v>514</v>
      </c>
      <c r="J139" s="248" t="s">
        <v>297</v>
      </c>
      <c r="K139" s="249" t="s">
        <v>66</v>
      </c>
      <c r="L139" s="257" t="s">
        <v>516</v>
      </c>
      <c r="M139" s="249"/>
      <c r="N139" s="249"/>
      <c r="O139" s="248"/>
      <c r="P139" s="264"/>
      <c r="Q139" s="248"/>
      <c r="R139" s="249"/>
      <c r="S139" s="264"/>
      <c r="T139" s="264"/>
      <c r="U139" s="249"/>
      <c r="V139" s="249"/>
    </row>
    <row r="140">
      <c r="A140" s="255" t="s">
        <v>865</v>
      </c>
      <c r="B140" s="248" t="s">
        <v>530</v>
      </c>
      <c r="C140" s="248" t="s">
        <v>531</v>
      </c>
      <c r="D140" s="248" t="s">
        <v>575</v>
      </c>
      <c r="E140" s="248">
        <v>8200.0</v>
      </c>
      <c r="F140" s="256">
        <v>45299.0</v>
      </c>
      <c r="G140" s="248">
        <v>2024.0</v>
      </c>
      <c r="H140" s="248" t="s">
        <v>546</v>
      </c>
      <c r="I140" s="248" t="s">
        <v>547</v>
      </c>
      <c r="J140" s="248" t="s">
        <v>309</v>
      </c>
      <c r="K140" s="249" t="s">
        <v>866</v>
      </c>
      <c r="L140" s="257" t="s">
        <v>516</v>
      </c>
      <c r="M140" s="249"/>
      <c r="N140" s="249"/>
      <c r="O140" s="248"/>
      <c r="P140" s="264"/>
      <c r="Q140" s="248"/>
      <c r="R140" s="249"/>
      <c r="S140" s="264"/>
      <c r="T140" s="264"/>
      <c r="U140" s="249"/>
      <c r="V140" s="249"/>
    </row>
    <row r="141">
      <c r="A141" s="255" t="s">
        <v>865</v>
      </c>
      <c r="B141" s="248" t="s">
        <v>530</v>
      </c>
      <c r="C141" s="248" t="s">
        <v>531</v>
      </c>
      <c r="D141" s="248" t="s">
        <v>575</v>
      </c>
      <c r="E141" s="248">
        <v>9255.0</v>
      </c>
      <c r="F141" s="256">
        <v>45299.0</v>
      </c>
      <c r="G141" s="248">
        <v>2024.0</v>
      </c>
      <c r="H141" s="248" t="s">
        <v>513</v>
      </c>
      <c r="I141" s="248" t="s">
        <v>514</v>
      </c>
      <c r="J141" s="248" t="s">
        <v>309</v>
      </c>
      <c r="K141" s="249" t="s">
        <v>867</v>
      </c>
      <c r="L141" s="257" t="s">
        <v>516</v>
      </c>
      <c r="M141" s="249"/>
      <c r="N141" s="249"/>
      <c r="O141" s="248"/>
      <c r="P141" s="264"/>
      <c r="Q141" s="248"/>
      <c r="R141" s="249"/>
      <c r="S141" s="264"/>
      <c r="T141" s="264"/>
      <c r="U141" s="249"/>
      <c r="V141" s="249"/>
    </row>
    <row r="142">
      <c r="A142" s="255" t="s">
        <v>868</v>
      </c>
      <c r="B142" s="248" t="s">
        <v>698</v>
      </c>
      <c r="C142" s="248" t="s">
        <v>699</v>
      </c>
      <c r="D142" s="248" t="s">
        <v>512</v>
      </c>
      <c r="E142" s="248">
        <v>2652.0</v>
      </c>
      <c r="F142" s="256">
        <v>45299.0</v>
      </c>
      <c r="G142" s="248">
        <v>2024.0</v>
      </c>
      <c r="H142" s="248" t="s">
        <v>513</v>
      </c>
      <c r="I142" s="248" t="s">
        <v>514</v>
      </c>
      <c r="J142" s="248" t="s">
        <v>309</v>
      </c>
      <c r="K142" s="249" t="s">
        <v>869</v>
      </c>
      <c r="L142" s="257" t="s">
        <v>516</v>
      </c>
      <c r="M142" s="249"/>
      <c r="N142" s="249"/>
      <c r="O142" s="248"/>
      <c r="P142" s="264"/>
      <c r="Q142" s="248"/>
      <c r="R142" s="249"/>
      <c r="S142" s="264"/>
      <c r="T142" s="264"/>
      <c r="U142" s="249"/>
      <c r="V142" s="249"/>
    </row>
    <row r="143">
      <c r="A143" s="255" t="s">
        <v>870</v>
      </c>
      <c r="B143" s="248" t="s">
        <v>679</v>
      </c>
      <c r="C143" s="248" t="s">
        <v>663</v>
      </c>
      <c r="D143" s="248" t="s">
        <v>512</v>
      </c>
      <c r="E143" s="248">
        <v>545001.0</v>
      </c>
      <c r="F143" s="256">
        <v>45296.0</v>
      </c>
      <c r="G143" s="248">
        <v>2024.0</v>
      </c>
      <c r="H143" s="248" t="s">
        <v>513</v>
      </c>
      <c r="I143" s="248" t="s">
        <v>514</v>
      </c>
      <c r="J143" s="248" t="s">
        <v>297</v>
      </c>
      <c r="K143" s="249" t="s">
        <v>871</v>
      </c>
      <c r="L143" s="257" t="s">
        <v>516</v>
      </c>
      <c r="M143" s="249"/>
      <c r="N143" s="249"/>
      <c r="O143" s="248"/>
      <c r="P143" s="264"/>
      <c r="Q143" s="248"/>
      <c r="R143" s="249"/>
      <c r="S143" s="264"/>
      <c r="T143" s="264"/>
      <c r="U143" s="249"/>
      <c r="V143" s="249"/>
    </row>
    <row r="144">
      <c r="A144" s="255" t="s">
        <v>823</v>
      </c>
      <c r="B144" s="248" t="s">
        <v>824</v>
      </c>
      <c r="C144" s="248" t="s">
        <v>743</v>
      </c>
      <c r="D144" s="248" t="s">
        <v>512</v>
      </c>
      <c r="E144" s="248">
        <v>2380.0</v>
      </c>
      <c r="F144" s="256">
        <v>45296.0</v>
      </c>
      <c r="G144" s="248">
        <v>2024.0</v>
      </c>
      <c r="H144" s="248" t="s">
        <v>546</v>
      </c>
      <c r="I144" s="248" t="s">
        <v>547</v>
      </c>
      <c r="J144" s="248" t="s">
        <v>297</v>
      </c>
      <c r="K144" s="249" t="s">
        <v>872</v>
      </c>
      <c r="L144" s="257" t="s">
        <v>516</v>
      </c>
      <c r="M144" s="249"/>
      <c r="N144" s="249"/>
      <c r="O144" s="248"/>
      <c r="P144" s="264"/>
      <c r="Q144" s="248"/>
      <c r="R144" s="249"/>
      <c r="S144" s="264"/>
      <c r="T144" s="264"/>
      <c r="U144" s="249"/>
      <c r="V144" s="249"/>
    </row>
    <row r="145">
      <c r="A145" s="255" t="s">
        <v>873</v>
      </c>
      <c r="B145" s="248" t="s">
        <v>573</v>
      </c>
      <c r="C145" s="248" t="s">
        <v>574</v>
      </c>
      <c r="D145" s="248" t="s">
        <v>575</v>
      </c>
      <c r="E145" s="248">
        <v>2442.0</v>
      </c>
      <c r="F145" s="256">
        <v>45295.0</v>
      </c>
      <c r="G145" s="248">
        <v>2024.0</v>
      </c>
      <c r="H145" s="248" t="s">
        <v>513</v>
      </c>
      <c r="I145" s="248" t="s">
        <v>514</v>
      </c>
      <c r="J145" s="248" t="s">
        <v>309</v>
      </c>
      <c r="K145" s="249" t="s">
        <v>874</v>
      </c>
      <c r="L145" s="257" t="s">
        <v>516</v>
      </c>
      <c r="M145" s="249"/>
      <c r="N145" s="249"/>
      <c r="O145" s="248"/>
      <c r="P145" s="264"/>
      <c r="Q145" s="248"/>
      <c r="R145" s="249"/>
      <c r="S145" s="264"/>
      <c r="T145" s="264"/>
      <c r="U145" s="249"/>
      <c r="V145" s="249"/>
    </row>
    <row r="146">
      <c r="A146" s="255" t="s">
        <v>875</v>
      </c>
      <c r="B146" s="248" t="s">
        <v>530</v>
      </c>
      <c r="C146" s="248" t="s">
        <v>531</v>
      </c>
      <c r="D146" s="248" t="s">
        <v>512</v>
      </c>
      <c r="E146" s="248">
        <v>1305.0</v>
      </c>
      <c r="F146" s="256">
        <v>45294.0</v>
      </c>
      <c r="G146" s="248">
        <v>2024.0</v>
      </c>
      <c r="H146" s="248" t="s">
        <v>513</v>
      </c>
      <c r="I146" s="248" t="s">
        <v>514</v>
      </c>
      <c r="J146" s="248" t="s">
        <v>309</v>
      </c>
      <c r="K146" s="249" t="s">
        <v>876</v>
      </c>
      <c r="L146" s="257" t="s">
        <v>516</v>
      </c>
      <c r="M146" s="249"/>
      <c r="N146" s="249"/>
      <c r="U146" s="249"/>
      <c r="V146" s="249"/>
    </row>
    <row r="147">
      <c r="A147" s="255" t="s">
        <v>877</v>
      </c>
      <c r="B147" s="248" t="s">
        <v>878</v>
      </c>
      <c r="C147" s="248" t="s">
        <v>643</v>
      </c>
      <c r="D147" s="248" t="s">
        <v>512</v>
      </c>
      <c r="E147" s="248">
        <v>502438.0</v>
      </c>
      <c r="F147" s="256">
        <v>45294.0</v>
      </c>
      <c r="G147" s="248">
        <v>2024.0</v>
      </c>
      <c r="H147" s="248" t="s">
        <v>513</v>
      </c>
      <c r="I147" s="248" t="s">
        <v>514</v>
      </c>
      <c r="J147" s="248" t="s">
        <v>309</v>
      </c>
      <c r="K147" s="249" t="s">
        <v>879</v>
      </c>
      <c r="L147" s="257" t="s">
        <v>516</v>
      </c>
      <c r="M147" s="249"/>
      <c r="N147" s="249"/>
      <c r="O147" s="249"/>
      <c r="P147" s="249"/>
      <c r="Q147" s="249"/>
      <c r="R147" s="249"/>
      <c r="S147" s="249"/>
      <c r="T147" s="249"/>
      <c r="U147" s="249"/>
      <c r="V147" s="249"/>
    </row>
    <row r="148">
      <c r="A148" s="255" t="s">
        <v>880</v>
      </c>
      <c r="B148" s="248" t="s">
        <v>688</v>
      </c>
      <c r="C148" s="248" t="s">
        <v>683</v>
      </c>
      <c r="D148" s="248" t="s">
        <v>575</v>
      </c>
      <c r="E148" s="248">
        <v>1965.0</v>
      </c>
      <c r="F148" s="256">
        <v>45293.0</v>
      </c>
      <c r="G148" s="248">
        <v>2024.0</v>
      </c>
      <c r="H148" s="248" t="s">
        <v>513</v>
      </c>
      <c r="I148" s="248" t="s">
        <v>514</v>
      </c>
      <c r="J148" s="248" t="s">
        <v>309</v>
      </c>
      <c r="K148" s="249" t="s">
        <v>881</v>
      </c>
      <c r="L148" s="257" t="s">
        <v>516</v>
      </c>
      <c r="M148" s="249"/>
      <c r="N148" s="249"/>
      <c r="O148" s="248"/>
      <c r="P148" s="264"/>
      <c r="Q148" s="248"/>
      <c r="R148" s="249"/>
      <c r="T148" s="286"/>
      <c r="U148" s="249"/>
      <c r="V148" s="249"/>
    </row>
    <row r="149">
      <c r="A149" s="255" t="s">
        <v>882</v>
      </c>
      <c r="B149" s="248" t="s">
        <v>530</v>
      </c>
      <c r="C149" s="248" t="s">
        <v>531</v>
      </c>
      <c r="D149" s="248" t="s">
        <v>512</v>
      </c>
      <c r="E149" s="248">
        <v>12723.0</v>
      </c>
      <c r="F149" s="256">
        <v>45657.0</v>
      </c>
      <c r="G149" s="248">
        <v>2024.0</v>
      </c>
      <c r="H149" s="248" t="s">
        <v>513</v>
      </c>
      <c r="I149" s="248" t="s">
        <v>514</v>
      </c>
      <c r="J149" s="248" t="s">
        <v>297</v>
      </c>
      <c r="K149" s="249" t="s">
        <v>66</v>
      </c>
      <c r="L149" s="257" t="s">
        <v>523</v>
      </c>
      <c r="M149" s="249"/>
      <c r="N149" s="249"/>
      <c r="O149" s="248"/>
      <c r="P149" s="264"/>
      <c r="Q149" s="248"/>
      <c r="R149" s="249"/>
      <c r="T149" s="286"/>
      <c r="U149" s="249"/>
      <c r="V149" s="249"/>
    </row>
    <row r="150">
      <c r="A150" s="255" t="s">
        <v>883</v>
      </c>
      <c r="B150" s="248" t="s">
        <v>878</v>
      </c>
      <c r="C150" s="248" t="s">
        <v>643</v>
      </c>
      <c r="D150" s="248" t="s">
        <v>512</v>
      </c>
      <c r="E150" s="248">
        <v>16926.0</v>
      </c>
      <c r="F150" s="256">
        <v>45656.0</v>
      </c>
      <c r="G150" s="248">
        <v>2024.0</v>
      </c>
      <c r="H150" s="248" t="s">
        <v>513</v>
      </c>
      <c r="I150" s="248" t="s">
        <v>521</v>
      </c>
      <c r="J150" s="248" t="s">
        <v>297</v>
      </c>
      <c r="K150" s="249" t="s">
        <v>66</v>
      </c>
      <c r="L150" s="257" t="s">
        <v>523</v>
      </c>
      <c r="M150" s="249"/>
      <c r="N150" s="249"/>
      <c r="O150" s="249"/>
      <c r="P150" s="249"/>
      <c r="Q150" s="249"/>
      <c r="R150" s="249"/>
      <c r="S150" s="249"/>
      <c r="T150" s="249"/>
      <c r="U150" s="249"/>
      <c r="V150" s="249"/>
    </row>
    <row r="151">
      <c r="A151" s="255" t="s">
        <v>884</v>
      </c>
      <c r="B151" s="248" t="s">
        <v>845</v>
      </c>
      <c r="C151" s="248" t="s">
        <v>733</v>
      </c>
      <c r="D151" s="248" t="s">
        <v>512</v>
      </c>
      <c r="E151" s="248">
        <v>112847.0</v>
      </c>
      <c r="F151" s="256">
        <v>45656.0</v>
      </c>
      <c r="G151" s="248">
        <v>2024.0</v>
      </c>
      <c r="H151" s="248" t="s">
        <v>513</v>
      </c>
      <c r="I151" s="248" t="s">
        <v>514</v>
      </c>
      <c r="J151" s="248" t="s">
        <v>297</v>
      </c>
      <c r="K151" s="249" t="s">
        <v>66</v>
      </c>
      <c r="L151" s="257" t="s">
        <v>523</v>
      </c>
      <c r="M151" s="249"/>
      <c r="N151" s="249"/>
      <c r="O151" s="249"/>
      <c r="P151" s="249"/>
      <c r="Q151" s="249"/>
      <c r="R151" s="249"/>
      <c r="S151" s="249"/>
      <c r="T151" s="249"/>
      <c r="U151" s="249"/>
      <c r="V151" s="249"/>
    </row>
    <row r="152" ht="16.5" customHeight="1">
      <c r="A152" s="255" t="s">
        <v>885</v>
      </c>
      <c r="B152" s="248" t="s">
        <v>886</v>
      </c>
      <c r="C152" s="248" t="s">
        <v>636</v>
      </c>
      <c r="D152" s="248" t="s">
        <v>512</v>
      </c>
      <c r="E152" s="248">
        <v>1110.0</v>
      </c>
      <c r="F152" s="256">
        <v>45656.0</v>
      </c>
      <c r="G152" s="248">
        <v>2024.0</v>
      </c>
      <c r="H152" s="248" t="s">
        <v>513</v>
      </c>
      <c r="I152" s="248" t="s">
        <v>521</v>
      </c>
      <c r="J152" s="248" t="s">
        <v>297</v>
      </c>
      <c r="K152" s="249" t="s">
        <v>66</v>
      </c>
      <c r="L152" s="257" t="s">
        <v>523</v>
      </c>
      <c r="M152" s="249"/>
      <c r="N152" s="249"/>
      <c r="O152" s="249"/>
      <c r="P152" s="249"/>
      <c r="Q152" s="249"/>
      <c r="R152" s="249"/>
      <c r="S152" s="249"/>
      <c r="T152" s="249"/>
      <c r="U152" s="249"/>
      <c r="V152" s="249"/>
    </row>
    <row r="153">
      <c r="A153" s="255" t="s">
        <v>887</v>
      </c>
      <c r="B153" s="248" t="s">
        <v>590</v>
      </c>
      <c r="C153" s="248" t="s">
        <v>591</v>
      </c>
      <c r="D153" s="248" t="s">
        <v>512</v>
      </c>
      <c r="E153" s="248">
        <v>2715.0</v>
      </c>
      <c r="F153" s="256">
        <v>45653.0</v>
      </c>
      <c r="G153" s="248">
        <v>2024.0</v>
      </c>
      <c r="H153" s="248" t="s">
        <v>513</v>
      </c>
      <c r="I153" s="248" t="s">
        <v>514</v>
      </c>
      <c r="J153" s="248" t="s">
        <v>297</v>
      </c>
      <c r="K153" s="249" t="s">
        <v>66</v>
      </c>
      <c r="L153" s="257" t="s">
        <v>523</v>
      </c>
      <c r="M153" s="249"/>
      <c r="N153" s="249"/>
      <c r="O153" s="249"/>
      <c r="P153" s="249"/>
      <c r="Q153" s="249"/>
      <c r="R153" s="249"/>
      <c r="S153" s="249"/>
      <c r="T153" s="249"/>
      <c r="U153" s="249"/>
      <c r="V153" s="249"/>
    </row>
    <row r="154">
      <c r="A154" s="255" t="s">
        <v>888</v>
      </c>
      <c r="B154" s="248" t="s">
        <v>815</v>
      </c>
      <c r="C154" s="248" t="s">
        <v>728</v>
      </c>
      <c r="D154" s="248" t="s">
        <v>512</v>
      </c>
      <c r="E154" s="248">
        <v>29819.0</v>
      </c>
      <c r="F154" s="256">
        <v>45650.0</v>
      </c>
      <c r="G154" s="248">
        <v>2024.0</v>
      </c>
      <c r="H154" s="248" t="s">
        <v>513</v>
      </c>
      <c r="I154" s="248" t="s">
        <v>514</v>
      </c>
      <c r="J154" s="248" t="s">
        <v>297</v>
      </c>
      <c r="K154" s="249" t="s">
        <v>66</v>
      </c>
      <c r="L154" s="257" t="s">
        <v>523</v>
      </c>
      <c r="M154" s="249"/>
      <c r="N154" s="249"/>
      <c r="O154" s="249"/>
      <c r="P154" s="249"/>
      <c r="Q154" s="249"/>
      <c r="R154" s="249"/>
      <c r="S154" s="249"/>
      <c r="T154" s="249"/>
      <c r="U154" s="249"/>
      <c r="V154" s="249"/>
    </row>
    <row r="155">
      <c r="A155" s="255" t="s">
        <v>889</v>
      </c>
      <c r="B155" s="248" t="s">
        <v>530</v>
      </c>
      <c r="C155" s="248" t="s">
        <v>531</v>
      </c>
      <c r="D155" s="248" t="s">
        <v>512</v>
      </c>
      <c r="E155" s="248">
        <v>65482.0</v>
      </c>
      <c r="F155" s="256">
        <v>45649.0</v>
      </c>
      <c r="G155" s="248">
        <v>2024.0</v>
      </c>
      <c r="H155" s="248" t="s">
        <v>513</v>
      </c>
      <c r="I155" s="248" t="s">
        <v>514</v>
      </c>
      <c r="J155" s="248" t="s">
        <v>297</v>
      </c>
      <c r="K155" s="249" t="s">
        <v>66</v>
      </c>
      <c r="L155" s="257" t="s">
        <v>523</v>
      </c>
      <c r="M155" s="249"/>
      <c r="N155" s="249"/>
      <c r="O155" s="249"/>
      <c r="P155" s="249"/>
      <c r="Q155" s="249"/>
      <c r="R155" s="249"/>
      <c r="S155" s="249"/>
      <c r="T155" s="249"/>
      <c r="U155" s="249"/>
      <c r="V155" s="249"/>
    </row>
    <row r="156">
      <c r="A156" s="255" t="s">
        <v>890</v>
      </c>
      <c r="B156" s="248" t="s">
        <v>586</v>
      </c>
      <c r="C156" s="248" t="s">
        <v>587</v>
      </c>
      <c r="D156" s="248" t="s">
        <v>512</v>
      </c>
      <c r="E156" s="248">
        <v>1153.0</v>
      </c>
      <c r="F156" s="256">
        <v>45648.0</v>
      </c>
      <c r="G156" s="248">
        <v>2024.0</v>
      </c>
      <c r="H156" s="248" t="s">
        <v>546</v>
      </c>
      <c r="I156" s="248" t="s">
        <v>514</v>
      </c>
      <c r="J156" s="248" t="s">
        <v>297</v>
      </c>
      <c r="K156" s="249" t="s">
        <v>66</v>
      </c>
      <c r="L156" s="257" t="s">
        <v>523</v>
      </c>
      <c r="M156" s="249"/>
      <c r="N156" s="249"/>
      <c r="O156" s="249"/>
      <c r="P156" s="249"/>
      <c r="Q156" s="249"/>
      <c r="R156" s="249"/>
      <c r="S156" s="249"/>
      <c r="T156" s="249"/>
      <c r="U156" s="249"/>
      <c r="V156" s="249"/>
    </row>
    <row r="157">
      <c r="A157" s="255" t="s">
        <v>891</v>
      </c>
      <c r="B157" s="248" t="s">
        <v>698</v>
      </c>
      <c r="C157" s="248" t="s">
        <v>699</v>
      </c>
      <c r="D157" s="248" t="s">
        <v>520</v>
      </c>
      <c r="E157" s="248">
        <v>3112.0</v>
      </c>
      <c r="F157" s="287">
        <v>45646.0</v>
      </c>
      <c r="G157" s="248">
        <v>2024.0</v>
      </c>
      <c r="H157" s="248" t="s">
        <v>513</v>
      </c>
      <c r="I157" s="248" t="s">
        <v>514</v>
      </c>
      <c r="J157" s="248" t="s">
        <v>309</v>
      </c>
      <c r="K157" s="249" t="s">
        <v>66</v>
      </c>
      <c r="L157" s="257" t="s">
        <v>523</v>
      </c>
      <c r="M157" s="249"/>
      <c r="N157" s="249"/>
      <c r="O157" s="249"/>
      <c r="P157" s="249"/>
      <c r="Q157" s="249"/>
      <c r="R157" s="249"/>
      <c r="S157" s="249"/>
      <c r="T157" s="249"/>
      <c r="U157" s="249"/>
      <c r="V157" s="249"/>
    </row>
    <row r="158">
      <c r="A158" s="255" t="s">
        <v>892</v>
      </c>
      <c r="B158" s="248" t="s">
        <v>679</v>
      </c>
      <c r="C158" s="248" t="s">
        <v>663</v>
      </c>
      <c r="D158" s="248" t="s">
        <v>512</v>
      </c>
      <c r="E158" s="248">
        <v>22000.0</v>
      </c>
      <c r="F158" s="287">
        <v>45646.0</v>
      </c>
      <c r="G158" s="248">
        <v>2024.0</v>
      </c>
      <c r="H158" s="248" t="s">
        <v>513</v>
      </c>
      <c r="I158" s="248" t="s">
        <v>514</v>
      </c>
      <c r="J158" s="248" t="s">
        <v>297</v>
      </c>
      <c r="K158" s="249" t="s">
        <v>66</v>
      </c>
      <c r="L158" s="257" t="s">
        <v>523</v>
      </c>
      <c r="M158" s="249"/>
      <c r="N158" s="249"/>
      <c r="O158" s="249"/>
      <c r="P158" s="249"/>
      <c r="Q158" s="249"/>
      <c r="R158" s="249"/>
      <c r="S158" s="249"/>
      <c r="T158" s="249"/>
      <c r="U158" s="249"/>
      <c r="V158" s="249"/>
    </row>
    <row r="159">
      <c r="A159" s="255" t="s">
        <v>893</v>
      </c>
      <c r="B159" s="248" t="s">
        <v>894</v>
      </c>
      <c r="C159" s="248" t="s">
        <v>639</v>
      </c>
      <c r="D159" s="248" t="s">
        <v>520</v>
      </c>
      <c r="E159" s="248">
        <v>1549.0</v>
      </c>
      <c r="F159" s="287">
        <v>45646.0</v>
      </c>
      <c r="G159" s="248">
        <v>2024.0</v>
      </c>
      <c r="H159" s="248" t="s">
        <v>513</v>
      </c>
      <c r="I159" s="248" t="s">
        <v>514</v>
      </c>
      <c r="J159" s="248" t="s">
        <v>309</v>
      </c>
      <c r="K159" s="249" t="s">
        <v>66</v>
      </c>
      <c r="L159" s="257" t="s">
        <v>523</v>
      </c>
      <c r="M159" s="249"/>
      <c r="N159" s="249"/>
      <c r="O159" s="249"/>
      <c r="P159" s="249"/>
      <c r="Q159" s="249"/>
      <c r="R159" s="249"/>
      <c r="S159" s="249"/>
      <c r="T159" s="249"/>
      <c r="U159" s="249"/>
      <c r="V159" s="249"/>
    </row>
    <row r="160">
      <c r="A160" s="255" t="s">
        <v>895</v>
      </c>
      <c r="B160" s="248" t="s">
        <v>878</v>
      </c>
      <c r="C160" s="248" t="s">
        <v>643</v>
      </c>
      <c r="D160" s="248" t="s">
        <v>512</v>
      </c>
      <c r="E160" s="248">
        <v>3621.0</v>
      </c>
      <c r="F160" s="287">
        <v>45646.0</v>
      </c>
      <c r="G160" s="248">
        <v>2024.0</v>
      </c>
      <c r="H160" s="248" t="s">
        <v>513</v>
      </c>
      <c r="I160" s="248" t="s">
        <v>514</v>
      </c>
      <c r="J160" s="248" t="s">
        <v>297</v>
      </c>
      <c r="K160" s="249" t="s">
        <v>66</v>
      </c>
      <c r="L160" s="257" t="s">
        <v>523</v>
      </c>
      <c r="M160" s="249"/>
      <c r="N160" s="249"/>
      <c r="O160" s="249"/>
      <c r="P160" s="249"/>
      <c r="Q160" s="249"/>
      <c r="R160" s="249"/>
      <c r="S160" s="249"/>
      <c r="T160" s="249"/>
      <c r="U160" s="249"/>
      <c r="V160" s="249"/>
    </row>
    <row r="161">
      <c r="A161" s="255" t="s">
        <v>896</v>
      </c>
      <c r="B161" s="248" t="s">
        <v>542</v>
      </c>
      <c r="C161" s="248" t="s">
        <v>543</v>
      </c>
      <c r="D161" s="248" t="s">
        <v>512</v>
      </c>
      <c r="E161" s="248">
        <v>2736.0</v>
      </c>
      <c r="F161" s="287">
        <v>45646.0</v>
      </c>
      <c r="G161" s="248">
        <v>2024.0</v>
      </c>
      <c r="H161" s="248" t="s">
        <v>513</v>
      </c>
      <c r="I161" s="248" t="s">
        <v>561</v>
      </c>
      <c r="J161" s="248" t="s">
        <v>297</v>
      </c>
      <c r="K161" s="249" t="s">
        <v>66</v>
      </c>
      <c r="L161" s="257" t="s">
        <v>523</v>
      </c>
      <c r="M161" s="249"/>
      <c r="N161" s="249"/>
      <c r="O161" s="249"/>
      <c r="P161" s="249"/>
      <c r="Q161" s="249"/>
      <c r="R161" s="249"/>
      <c r="S161" s="249"/>
      <c r="T161" s="249"/>
      <c r="U161" s="249"/>
      <c r="V161" s="249"/>
    </row>
    <row r="162">
      <c r="A162" s="255" t="s">
        <v>897</v>
      </c>
      <c r="B162" s="248" t="s">
        <v>586</v>
      </c>
      <c r="C162" s="248" t="s">
        <v>587</v>
      </c>
      <c r="D162" s="248" t="s">
        <v>575</v>
      </c>
      <c r="E162" s="248">
        <v>1028.0</v>
      </c>
      <c r="F162" s="287">
        <v>45646.0</v>
      </c>
      <c r="G162" s="248">
        <v>2024.0</v>
      </c>
      <c r="H162" s="248" t="s">
        <v>546</v>
      </c>
      <c r="I162" s="248" t="s">
        <v>547</v>
      </c>
      <c r="J162" s="248" t="s">
        <v>297</v>
      </c>
      <c r="K162" s="249" t="s">
        <v>66</v>
      </c>
      <c r="L162" s="257" t="s">
        <v>523</v>
      </c>
      <c r="M162" s="249"/>
      <c r="N162" s="249"/>
      <c r="O162" s="249"/>
      <c r="P162" s="249"/>
      <c r="Q162" s="249"/>
      <c r="R162" s="249"/>
      <c r="S162" s="249"/>
      <c r="T162" s="249"/>
      <c r="U162" s="249"/>
      <c r="V162" s="249"/>
    </row>
    <row r="163">
      <c r="A163" s="255" t="s">
        <v>898</v>
      </c>
      <c r="B163" s="248" t="s">
        <v>534</v>
      </c>
      <c r="C163" s="248" t="s">
        <v>535</v>
      </c>
      <c r="D163" s="248" t="s">
        <v>575</v>
      </c>
      <c r="E163" s="248">
        <v>1317.0</v>
      </c>
      <c r="F163" s="287">
        <v>45646.0</v>
      </c>
      <c r="G163" s="248">
        <v>2024.0</v>
      </c>
      <c r="H163" s="248" t="s">
        <v>546</v>
      </c>
      <c r="I163" s="248" t="s">
        <v>707</v>
      </c>
      <c r="J163" s="248" t="s">
        <v>309</v>
      </c>
      <c r="K163" s="249" t="s">
        <v>66</v>
      </c>
      <c r="L163" s="257" t="s">
        <v>523</v>
      </c>
      <c r="M163" s="249"/>
      <c r="N163" s="249"/>
      <c r="O163" s="249"/>
      <c r="P163" s="249"/>
      <c r="Q163" s="249"/>
      <c r="R163" s="249"/>
      <c r="S163" s="249"/>
      <c r="T163" s="249"/>
      <c r="U163" s="249"/>
      <c r="V163" s="249"/>
    </row>
    <row r="164">
      <c r="A164" s="255" t="s">
        <v>899</v>
      </c>
      <c r="B164" s="248" t="s">
        <v>668</v>
      </c>
      <c r="C164" s="248" t="s">
        <v>669</v>
      </c>
      <c r="D164" s="248" t="s">
        <v>575</v>
      </c>
      <c r="E164" s="248">
        <v>12162.0</v>
      </c>
      <c r="F164" s="287">
        <v>45646.0</v>
      </c>
      <c r="G164" s="248">
        <v>2024.0</v>
      </c>
      <c r="H164" s="248" t="s">
        <v>513</v>
      </c>
      <c r="I164" s="248" t="s">
        <v>514</v>
      </c>
      <c r="J164" s="248" t="s">
        <v>297</v>
      </c>
      <c r="K164" s="249" t="s">
        <v>66</v>
      </c>
      <c r="L164" s="257" t="s">
        <v>523</v>
      </c>
      <c r="M164" s="249"/>
      <c r="N164" s="249"/>
      <c r="O164" s="249"/>
      <c r="P164" s="249"/>
      <c r="Q164" s="249"/>
      <c r="R164" s="249"/>
      <c r="S164" s="249"/>
      <c r="T164" s="249"/>
      <c r="U164" s="249"/>
      <c r="V164" s="249"/>
    </row>
    <row r="165">
      <c r="A165" s="255" t="s">
        <v>900</v>
      </c>
      <c r="B165" s="248" t="s">
        <v>573</v>
      </c>
      <c r="C165" s="248" t="s">
        <v>574</v>
      </c>
      <c r="D165" s="248" t="s">
        <v>512</v>
      </c>
      <c r="E165" s="248">
        <v>674033.0</v>
      </c>
      <c r="F165" s="287">
        <v>45645.0</v>
      </c>
      <c r="G165" s="248">
        <v>2024.0</v>
      </c>
      <c r="H165" s="248" t="s">
        <v>513</v>
      </c>
      <c r="I165" s="248" t="s">
        <v>514</v>
      </c>
      <c r="J165" s="248" t="s">
        <v>297</v>
      </c>
      <c r="K165" s="249" t="s">
        <v>66</v>
      </c>
      <c r="L165" s="257" t="s">
        <v>523</v>
      </c>
      <c r="M165" s="249"/>
      <c r="N165" s="249"/>
      <c r="O165" s="249"/>
      <c r="P165" s="249"/>
      <c r="Q165" s="249"/>
      <c r="R165" s="249"/>
      <c r="S165" s="249"/>
      <c r="T165" s="249"/>
      <c r="U165" s="249"/>
      <c r="V165" s="249"/>
    </row>
    <row r="166">
      <c r="A166" s="255" t="s">
        <v>901</v>
      </c>
      <c r="B166" s="248" t="s">
        <v>607</v>
      </c>
      <c r="C166" s="248" t="s">
        <v>608</v>
      </c>
      <c r="D166" s="248" t="s">
        <v>512</v>
      </c>
      <c r="E166" s="248">
        <v>172678.0</v>
      </c>
      <c r="F166" s="287">
        <v>45645.0</v>
      </c>
      <c r="G166" s="248">
        <v>2024.0</v>
      </c>
      <c r="H166" s="248" t="s">
        <v>513</v>
      </c>
      <c r="I166" s="248" t="s">
        <v>514</v>
      </c>
      <c r="J166" s="248" t="s">
        <v>297</v>
      </c>
      <c r="K166" s="249" t="s">
        <v>66</v>
      </c>
      <c r="L166" s="257" t="s">
        <v>523</v>
      </c>
      <c r="M166" s="249"/>
      <c r="N166" s="249"/>
      <c r="O166" s="249"/>
      <c r="P166" s="249"/>
      <c r="Q166" s="249"/>
      <c r="R166" s="249"/>
      <c r="S166" s="249"/>
      <c r="T166" s="249"/>
      <c r="U166" s="249"/>
      <c r="V166" s="249"/>
    </row>
    <row r="167">
      <c r="A167" s="255" t="s">
        <v>902</v>
      </c>
      <c r="B167" s="248" t="s">
        <v>721</v>
      </c>
      <c r="C167" s="248" t="s">
        <v>649</v>
      </c>
      <c r="D167" s="248" t="s">
        <v>512</v>
      </c>
      <c r="E167" s="248">
        <v>2280.0</v>
      </c>
      <c r="F167" s="287">
        <v>45644.0</v>
      </c>
      <c r="G167" s="248">
        <v>2024.0</v>
      </c>
      <c r="H167" s="248" t="s">
        <v>513</v>
      </c>
      <c r="I167" s="248" t="s">
        <v>514</v>
      </c>
      <c r="J167" s="248" t="s">
        <v>297</v>
      </c>
      <c r="K167" s="249" t="s">
        <v>66</v>
      </c>
      <c r="L167" s="257" t="s">
        <v>523</v>
      </c>
      <c r="M167" s="249"/>
      <c r="N167" s="249"/>
      <c r="O167" s="249"/>
      <c r="P167" s="249"/>
      <c r="Q167" s="249"/>
      <c r="R167" s="249"/>
      <c r="S167" s="249"/>
      <c r="T167" s="249"/>
      <c r="U167" s="249"/>
      <c r="V167" s="249"/>
    </row>
    <row r="168">
      <c r="A168" s="255" t="s">
        <v>903</v>
      </c>
      <c r="B168" s="248" t="s">
        <v>748</v>
      </c>
      <c r="C168" s="248" t="s">
        <v>694</v>
      </c>
      <c r="D168" s="248" t="s">
        <v>520</v>
      </c>
      <c r="E168" s="248">
        <v>22171.0</v>
      </c>
      <c r="F168" s="287">
        <v>45644.0</v>
      </c>
      <c r="G168" s="248">
        <v>2024.0</v>
      </c>
      <c r="H168" s="248" t="s">
        <v>513</v>
      </c>
      <c r="I168" s="248" t="s">
        <v>521</v>
      </c>
      <c r="J168" s="248" t="s">
        <v>309</v>
      </c>
      <c r="K168" s="249" t="s">
        <v>66</v>
      </c>
      <c r="L168" s="257" t="s">
        <v>523</v>
      </c>
      <c r="M168" s="249"/>
      <c r="N168" s="249"/>
      <c r="O168" s="249"/>
      <c r="P168" s="249"/>
      <c r="Q168" s="249"/>
      <c r="R168" s="249"/>
      <c r="S168" s="249"/>
      <c r="T168" s="249"/>
      <c r="U168" s="249"/>
      <c r="V168" s="249"/>
    </row>
    <row r="169">
      <c r="A169" s="255" t="s">
        <v>904</v>
      </c>
      <c r="B169" s="248" t="s">
        <v>538</v>
      </c>
      <c r="C169" s="248" t="s">
        <v>539</v>
      </c>
      <c r="D169" s="248" t="s">
        <v>512</v>
      </c>
      <c r="E169" s="248">
        <v>3862.0</v>
      </c>
      <c r="F169" s="287">
        <v>45643.0</v>
      </c>
      <c r="G169" s="248">
        <v>2024.0</v>
      </c>
      <c r="H169" s="248" t="s">
        <v>513</v>
      </c>
      <c r="I169" s="248" t="s">
        <v>521</v>
      </c>
      <c r="J169" s="248" t="s">
        <v>297</v>
      </c>
      <c r="K169" s="249" t="s">
        <v>66</v>
      </c>
      <c r="L169" s="257" t="s">
        <v>523</v>
      </c>
      <c r="M169" s="249"/>
      <c r="N169" s="249"/>
      <c r="O169" s="249"/>
      <c r="P169" s="249"/>
      <c r="Q169" s="249"/>
      <c r="R169" s="249"/>
      <c r="S169" s="249"/>
      <c r="T169" s="249"/>
      <c r="U169" s="249"/>
      <c r="V169" s="249"/>
    </row>
    <row r="170">
      <c r="A170" s="255" t="s">
        <v>905</v>
      </c>
      <c r="B170" s="248" t="s">
        <v>542</v>
      </c>
      <c r="C170" s="248" t="s">
        <v>543</v>
      </c>
      <c r="D170" s="248" t="s">
        <v>520</v>
      </c>
      <c r="E170" s="248">
        <v>13000.0</v>
      </c>
      <c r="F170" s="287">
        <v>45643.0</v>
      </c>
      <c r="G170" s="248">
        <v>2024.0</v>
      </c>
      <c r="H170" s="248" t="s">
        <v>513</v>
      </c>
      <c r="I170" s="248" t="s">
        <v>592</v>
      </c>
      <c r="J170" s="248" t="s">
        <v>309</v>
      </c>
      <c r="K170" s="249" t="s">
        <v>66</v>
      </c>
      <c r="L170" s="257" t="s">
        <v>523</v>
      </c>
      <c r="M170" s="249"/>
      <c r="N170" s="249"/>
      <c r="O170" s="249"/>
      <c r="P170" s="249"/>
      <c r="Q170" s="249"/>
      <c r="R170" s="249"/>
      <c r="S170" s="249"/>
      <c r="T170" s="249"/>
      <c r="U170" s="249"/>
      <c r="V170" s="249"/>
    </row>
    <row r="171">
      <c r="A171" s="255" t="s">
        <v>906</v>
      </c>
      <c r="B171" s="248" t="s">
        <v>886</v>
      </c>
      <c r="C171" s="248" t="s">
        <v>636</v>
      </c>
      <c r="D171" s="248" t="s">
        <v>645</v>
      </c>
      <c r="E171" s="248">
        <v>225728.0</v>
      </c>
      <c r="F171" s="287">
        <v>45643.0</v>
      </c>
      <c r="G171" s="248">
        <v>2024.0</v>
      </c>
      <c r="H171" s="248" t="s">
        <v>513</v>
      </c>
      <c r="I171" s="248" t="s">
        <v>514</v>
      </c>
      <c r="J171" s="248" t="s">
        <v>297</v>
      </c>
      <c r="K171" s="249" t="s">
        <v>66</v>
      </c>
      <c r="L171" s="257" t="s">
        <v>523</v>
      </c>
      <c r="M171" s="249"/>
      <c r="N171" s="249"/>
      <c r="O171" s="249"/>
      <c r="P171" s="249"/>
      <c r="Q171" s="249"/>
      <c r="R171" s="249"/>
      <c r="S171" s="249"/>
      <c r="T171" s="249"/>
      <c r="U171" s="249"/>
      <c r="V171" s="249"/>
    </row>
    <row r="172">
      <c r="A172" s="255" t="s">
        <v>738</v>
      </c>
      <c r="B172" s="248" t="s">
        <v>530</v>
      </c>
      <c r="C172" s="248" t="s">
        <v>531</v>
      </c>
      <c r="D172" s="248" t="s">
        <v>512</v>
      </c>
      <c r="E172" s="248">
        <v>1416.0</v>
      </c>
      <c r="F172" s="287">
        <v>45643.0</v>
      </c>
      <c r="G172" s="248">
        <v>2024.0</v>
      </c>
      <c r="H172" s="248" t="s">
        <v>556</v>
      </c>
      <c r="I172" s="248" t="s">
        <v>547</v>
      </c>
      <c r="J172" s="248" t="s">
        <v>297</v>
      </c>
      <c r="K172" s="249" t="s">
        <v>66</v>
      </c>
      <c r="L172" s="257" t="s">
        <v>523</v>
      </c>
      <c r="M172" s="249"/>
      <c r="N172" s="249"/>
      <c r="O172" s="249"/>
      <c r="P172" s="249"/>
      <c r="Q172" s="249"/>
      <c r="R172" s="249"/>
      <c r="S172" s="249"/>
      <c r="T172" s="249"/>
      <c r="U172" s="249"/>
      <c r="V172" s="249"/>
    </row>
    <row r="173">
      <c r="A173" s="255" t="s">
        <v>907</v>
      </c>
      <c r="B173" s="248" t="s">
        <v>688</v>
      </c>
      <c r="C173" s="248" t="s">
        <v>683</v>
      </c>
      <c r="D173" s="248" t="s">
        <v>512</v>
      </c>
      <c r="E173" s="248">
        <v>13409.0</v>
      </c>
      <c r="F173" s="287">
        <v>45642.0</v>
      </c>
      <c r="G173" s="248">
        <v>2024.0</v>
      </c>
      <c r="H173" s="248" t="s">
        <v>513</v>
      </c>
      <c r="I173" s="248" t="s">
        <v>514</v>
      </c>
      <c r="J173" s="248" t="s">
        <v>297</v>
      </c>
      <c r="K173" s="249" t="s">
        <v>66</v>
      </c>
      <c r="L173" s="257" t="s">
        <v>523</v>
      </c>
      <c r="M173" s="249"/>
      <c r="N173" s="249"/>
      <c r="O173" s="249"/>
      <c r="P173" s="249"/>
      <c r="Q173" s="249"/>
      <c r="R173" s="249"/>
      <c r="S173" s="249"/>
      <c r="T173" s="249"/>
      <c r="U173" s="249"/>
      <c r="V173" s="249"/>
    </row>
    <row r="174">
      <c r="A174" s="255" t="s">
        <v>908</v>
      </c>
      <c r="B174" s="248" t="s">
        <v>586</v>
      </c>
      <c r="C174" s="248" t="s">
        <v>587</v>
      </c>
      <c r="D174" s="248" t="s">
        <v>512</v>
      </c>
      <c r="E174" s="248">
        <v>66926.0</v>
      </c>
      <c r="F174" s="287">
        <v>45641.0</v>
      </c>
      <c r="G174" s="248">
        <v>2024.0</v>
      </c>
      <c r="H174" s="248" t="s">
        <v>513</v>
      </c>
      <c r="I174" s="248" t="s">
        <v>514</v>
      </c>
      <c r="J174" s="248" t="s">
        <v>297</v>
      </c>
      <c r="K174" s="249" t="s">
        <v>66</v>
      </c>
      <c r="L174" s="257" t="s">
        <v>523</v>
      </c>
      <c r="M174" s="249"/>
      <c r="N174" s="249"/>
      <c r="O174" s="249"/>
      <c r="P174" s="249"/>
      <c r="Q174" s="249"/>
      <c r="R174" s="249"/>
      <c r="S174" s="249"/>
      <c r="T174" s="249"/>
      <c r="U174" s="249"/>
      <c r="V174" s="249"/>
    </row>
    <row r="175">
      <c r="A175" s="255" t="s">
        <v>909</v>
      </c>
      <c r="B175" s="248" t="s">
        <v>590</v>
      </c>
      <c r="C175" s="248" t="s">
        <v>591</v>
      </c>
      <c r="D175" s="248" t="s">
        <v>512</v>
      </c>
      <c r="E175" s="248">
        <v>97488.0</v>
      </c>
      <c r="F175" s="287">
        <v>45639.0</v>
      </c>
      <c r="G175" s="248">
        <v>2024.0</v>
      </c>
      <c r="H175" s="248" t="s">
        <v>513</v>
      </c>
      <c r="I175" s="248" t="s">
        <v>514</v>
      </c>
      <c r="J175" s="248" t="s">
        <v>297</v>
      </c>
      <c r="K175" s="249" t="s">
        <v>66</v>
      </c>
      <c r="L175" s="257" t="s">
        <v>523</v>
      </c>
      <c r="M175" s="249"/>
      <c r="N175" s="249"/>
      <c r="O175" s="249"/>
      <c r="P175" s="249"/>
      <c r="Q175" s="249"/>
      <c r="R175" s="249"/>
      <c r="S175" s="249"/>
      <c r="T175" s="249"/>
      <c r="U175" s="249"/>
      <c r="V175" s="249"/>
    </row>
    <row r="176">
      <c r="A176" s="255" t="s">
        <v>910</v>
      </c>
      <c r="B176" s="248" t="s">
        <v>525</v>
      </c>
      <c r="C176" s="248" t="s">
        <v>526</v>
      </c>
      <c r="D176" s="248" t="s">
        <v>512</v>
      </c>
      <c r="E176" s="248">
        <v>1000.0</v>
      </c>
      <c r="F176" s="287">
        <v>45638.0</v>
      </c>
      <c r="G176" s="248">
        <v>2024.0</v>
      </c>
      <c r="H176" s="248" t="s">
        <v>513</v>
      </c>
      <c r="I176" s="248" t="s">
        <v>521</v>
      </c>
      <c r="J176" s="248" t="s">
        <v>297</v>
      </c>
      <c r="K176" s="249" t="s">
        <v>66</v>
      </c>
      <c r="L176" s="257" t="s">
        <v>523</v>
      </c>
      <c r="M176" s="249"/>
      <c r="N176" s="249"/>
      <c r="O176" s="249"/>
      <c r="P176" s="249"/>
      <c r="Q176" s="249"/>
      <c r="R176" s="249"/>
      <c r="S176" s="249"/>
      <c r="T176" s="249"/>
      <c r="U176" s="249"/>
      <c r="V176" s="249"/>
    </row>
    <row r="177">
      <c r="A177" s="255" t="s">
        <v>911</v>
      </c>
      <c r="B177" s="248" t="s">
        <v>582</v>
      </c>
      <c r="C177" s="248" t="s">
        <v>583</v>
      </c>
      <c r="D177" s="248" t="s">
        <v>520</v>
      </c>
      <c r="E177" s="248">
        <v>914138.0</v>
      </c>
      <c r="F177" s="287">
        <v>45637.0</v>
      </c>
      <c r="G177" s="248">
        <v>2024.0</v>
      </c>
      <c r="H177" s="248" t="s">
        <v>513</v>
      </c>
      <c r="I177" s="248" t="s">
        <v>514</v>
      </c>
      <c r="J177" s="248" t="s">
        <v>309</v>
      </c>
      <c r="K177" s="249" t="s">
        <v>66</v>
      </c>
      <c r="L177" s="257" t="s">
        <v>523</v>
      </c>
      <c r="M177" s="249"/>
      <c r="N177" s="249"/>
      <c r="O177" s="249"/>
      <c r="P177" s="249"/>
      <c r="Q177" s="249"/>
      <c r="R177" s="249"/>
      <c r="S177" s="249"/>
      <c r="T177" s="249"/>
      <c r="U177" s="249"/>
      <c r="V177" s="249"/>
    </row>
    <row r="178">
      <c r="A178" s="255" t="s">
        <v>912</v>
      </c>
      <c r="B178" s="248" t="s">
        <v>679</v>
      </c>
      <c r="C178" s="248" t="s">
        <v>663</v>
      </c>
      <c r="D178" s="248" t="s">
        <v>512</v>
      </c>
      <c r="E178" s="248">
        <v>1854.0</v>
      </c>
      <c r="F178" s="287">
        <v>45637.0</v>
      </c>
      <c r="G178" s="248">
        <v>2024.0</v>
      </c>
      <c r="H178" s="248" t="s">
        <v>546</v>
      </c>
      <c r="I178" s="248" t="s">
        <v>561</v>
      </c>
      <c r="J178" s="248" t="s">
        <v>297</v>
      </c>
      <c r="K178" s="249" t="s">
        <v>66</v>
      </c>
      <c r="L178" s="257" t="s">
        <v>523</v>
      </c>
      <c r="M178" s="249"/>
      <c r="N178" s="249"/>
      <c r="O178" s="249"/>
      <c r="P178" s="249"/>
      <c r="Q178" s="249"/>
      <c r="R178" s="249"/>
      <c r="S178" s="249"/>
      <c r="T178" s="249"/>
      <c r="U178" s="249"/>
      <c r="V178" s="249"/>
    </row>
    <row r="179">
      <c r="A179" s="255" t="s">
        <v>913</v>
      </c>
      <c r="B179" s="248" t="s">
        <v>607</v>
      </c>
      <c r="C179" s="248" t="s">
        <v>608</v>
      </c>
      <c r="D179" s="248" t="s">
        <v>512</v>
      </c>
      <c r="E179" s="248">
        <v>48600.0</v>
      </c>
      <c r="F179" s="287">
        <v>45637.0</v>
      </c>
      <c r="G179" s="248">
        <v>2024.0</v>
      </c>
      <c r="H179" s="248" t="s">
        <v>513</v>
      </c>
      <c r="I179" s="248" t="s">
        <v>514</v>
      </c>
      <c r="J179" s="248" t="s">
        <v>297</v>
      </c>
      <c r="K179" s="249" t="s">
        <v>66</v>
      </c>
      <c r="L179" s="257" t="s">
        <v>523</v>
      </c>
      <c r="M179" s="249"/>
      <c r="N179" s="249"/>
      <c r="O179" s="249"/>
      <c r="P179" s="249"/>
      <c r="Q179" s="249"/>
      <c r="R179" s="249"/>
      <c r="S179" s="249"/>
      <c r="T179" s="249"/>
      <c r="U179" s="249"/>
      <c r="V179" s="249"/>
    </row>
    <row r="180">
      <c r="A180" s="255" t="s">
        <v>914</v>
      </c>
      <c r="B180" s="248" t="s">
        <v>705</v>
      </c>
      <c r="C180" s="248" t="s">
        <v>706</v>
      </c>
      <c r="D180" s="248" t="s">
        <v>575</v>
      </c>
      <c r="E180" s="248">
        <v>16946.0</v>
      </c>
      <c r="F180" s="287">
        <v>45636.0</v>
      </c>
      <c r="G180" s="248">
        <v>2024.0</v>
      </c>
      <c r="H180" s="248" t="s">
        <v>513</v>
      </c>
      <c r="I180" s="248" t="s">
        <v>514</v>
      </c>
      <c r="J180" s="248" t="s">
        <v>297</v>
      </c>
      <c r="K180" s="249" t="s">
        <v>66</v>
      </c>
      <c r="L180" s="257" t="s">
        <v>523</v>
      </c>
      <c r="M180" s="249"/>
      <c r="N180" s="249"/>
      <c r="O180" s="249"/>
      <c r="P180" s="249"/>
      <c r="Q180" s="249"/>
      <c r="R180" s="249"/>
      <c r="S180" s="249"/>
      <c r="T180" s="249"/>
      <c r="U180" s="249"/>
      <c r="V180" s="249"/>
    </row>
    <row r="181">
      <c r="A181" s="255" t="s">
        <v>915</v>
      </c>
      <c r="B181" s="248" t="s">
        <v>679</v>
      </c>
      <c r="C181" s="248" t="s">
        <v>663</v>
      </c>
      <c r="D181" s="248" t="s">
        <v>512</v>
      </c>
      <c r="E181" s="248">
        <v>43048.0</v>
      </c>
      <c r="F181" s="256">
        <v>45635.0</v>
      </c>
      <c r="G181" s="248">
        <v>2024.0</v>
      </c>
      <c r="H181" s="248" t="s">
        <v>546</v>
      </c>
      <c r="I181" s="248" t="s">
        <v>521</v>
      </c>
      <c r="J181" s="248" t="s">
        <v>297</v>
      </c>
      <c r="K181" s="249" t="s">
        <v>66</v>
      </c>
      <c r="L181" s="257" t="s">
        <v>523</v>
      </c>
      <c r="M181" s="249"/>
      <c r="N181" s="249"/>
      <c r="O181" s="249"/>
      <c r="P181" s="249"/>
      <c r="Q181" s="249"/>
      <c r="R181" s="249"/>
      <c r="S181" s="249"/>
      <c r="T181" s="249"/>
      <c r="U181" s="249"/>
      <c r="V181" s="249"/>
    </row>
    <row r="182">
      <c r="A182" s="255" t="s">
        <v>916</v>
      </c>
      <c r="B182" s="248" t="s">
        <v>810</v>
      </c>
      <c r="C182" s="248" t="s">
        <v>655</v>
      </c>
      <c r="D182" s="248" t="s">
        <v>520</v>
      </c>
      <c r="E182" s="248">
        <v>446094.0</v>
      </c>
      <c r="F182" s="256">
        <v>45631.0</v>
      </c>
      <c r="G182" s="248">
        <v>2024.0</v>
      </c>
      <c r="H182" s="248" t="s">
        <v>513</v>
      </c>
      <c r="I182" s="248" t="s">
        <v>514</v>
      </c>
      <c r="J182" s="248" t="s">
        <v>309</v>
      </c>
      <c r="K182" s="249" t="s">
        <v>66</v>
      </c>
      <c r="L182" s="257" t="s">
        <v>523</v>
      </c>
      <c r="M182" s="249"/>
      <c r="N182" s="249"/>
      <c r="O182" s="249"/>
      <c r="P182" s="249"/>
      <c r="Q182" s="249"/>
      <c r="R182" s="249"/>
      <c r="S182" s="249"/>
      <c r="T182" s="249"/>
      <c r="U182" s="249"/>
      <c r="V182" s="249"/>
    </row>
    <row r="183">
      <c r="A183" s="255" t="s">
        <v>823</v>
      </c>
      <c r="B183" s="248" t="s">
        <v>824</v>
      </c>
      <c r="C183" s="248" t="s">
        <v>743</v>
      </c>
      <c r="D183" s="248" t="s">
        <v>512</v>
      </c>
      <c r="E183" s="248">
        <v>2302.0</v>
      </c>
      <c r="F183" s="256">
        <v>45629.0</v>
      </c>
      <c r="G183" s="248">
        <v>2024.0</v>
      </c>
      <c r="H183" s="248" t="s">
        <v>513</v>
      </c>
      <c r="I183" s="248" t="s">
        <v>514</v>
      </c>
      <c r="J183" s="248" t="s">
        <v>309</v>
      </c>
      <c r="K183" s="249" t="s">
        <v>66</v>
      </c>
      <c r="L183" s="257" t="s">
        <v>523</v>
      </c>
      <c r="M183" s="249"/>
      <c r="N183" s="249"/>
      <c r="O183" s="249"/>
      <c r="P183" s="249"/>
      <c r="Q183" s="249"/>
      <c r="R183" s="249"/>
      <c r="S183" s="249"/>
      <c r="T183" s="249"/>
      <c r="U183" s="249"/>
      <c r="V183" s="249"/>
    </row>
    <row r="184">
      <c r="A184" s="255" t="s">
        <v>917</v>
      </c>
      <c r="B184" s="248" t="s">
        <v>75</v>
      </c>
      <c r="C184" s="248" t="s">
        <v>675</v>
      </c>
      <c r="D184" s="248" t="s">
        <v>512</v>
      </c>
      <c r="E184" s="248">
        <v>2703.0</v>
      </c>
      <c r="F184" s="256">
        <v>45628.0</v>
      </c>
      <c r="G184" s="248">
        <v>2024.0</v>
      </c>
      <c r="H184" s="248" t="s">
        <v>513</v>
      </c>
      <c r="I184" s="248" t="s">
        <v>521</v>
      </c>
      <c r="J184" s="248" t="s">
        <v>309</v>
      </c>
      <c r="K184" s="249" t="s">
        <v>66</v>
      </c>
      <c r="L184" s="257" t="s">
        <v>523</v>
      </c>
      <c r="M184" s="249"/>
      <c r="N184" s="249"/>
      <c r="O184" s="249"/>
      <c r="P184" s="249"/>
      <c r="Q184" s="249"/>
      <c r="R184" s="249"/>
      <c r="S184" s="249"/>
      <c r="T184" s="249"/>
      <c r="U184" s="249"/>
      <c r="V184" s="249"/>
    </row>
    <row r="185">
      <c r="A185" s="255" t="s">
        <v>918</v>
      </c>
      <c r="B185" s="248" t="s">
        <v>530</v>
      </c>
      <c r="C185" s="248" t="s">
        <v>531</v>
      </c>
      <c r="D185" s="248" t="s">
        <v>575</v>
      </c>
      <c r="E185" s="248">
        <v>35592.0</v>
      </c>
      <c r="F185" s="256">
        <v>45628.0</v>
      </c>
      <c r="G185" s="248">
        <v>2024.0</v>
      </c>
      <c r="H185" s="248" t="s">
        <v>513</v>
      </c>
      <c r="I185" s="248" t="s">
        <v>521</v>
      </c>
      <c r="J185" s="248" t="s">
        <v>297</v>
      </c>
      <c r="K185" s="249" t="s">
        <v>66</v>
      </c>
      <c r="L185" s="257" t="s">
        <v>523</v>
      </c>
      <c r="M185" s="249"/>
      <c r="N185" s="249"/>
      <c r="O185" s="249"/>
      <c r="P185" s="249"/>
      <c r="Q185" s="249"/>
      <c r="R185" s="249"/>
      <c r="S185" s="249"/>
      <c r="T185" s="249"/>
      <c r="U185" s="249"/>
      <c r="V185" s="249"/>
    </row>
    <row r="186">
      <c r="A186" s="255" t="s">
        <v>919</v>
      </c>
      <c r="B186" s="248" t="s">
        <v>748</v>
      </c>
      <c r="C186" s="248" t="s">
        <v>694</v>
      </c>
      <c r="D186" s="248" t="s">
        <v>512</v>
      </c>
      <c r="E186" s="248">
        <v>585959.0</v>
      </c>
      <c r="F186" s="256">
        <v>45628.0</v>
      </c>
      <c r="G186" s="248">
        <v>2024.0</v>
      </c>
      <c r="H186" s="248" t="s">
        <v>546</v>
      </c>
      <c r="I186" s="248" t="s">
        <v>514</v>
      </c>
      <c r="J186" s="248" t="s">
        <v>297</v>
      </c>
      <c r="K186" s="249" t="s">
        <v>66</v>
      </c>
      <c r="L186" s="257" t="s">
        <v>523</v>
      </c>
      <c r="M186" s="249"/>
      <c r="N186" s="249"/>
      <c r="O186" s="249"/>
      <c r="P186" s="249"/>
      <c r="Q186" s="249"/>
      <c r="R186" s="249"/>
      <c r="S186" s="249"/>
      <c r="T186" s="249"/>
      <c r="U186" s="249"/>
      <c r="V186" s="249"/>
    </row>
    <row r="187">
      <c r="A187" s="255" t="s">
        <v>920</v>
      </c>
      <c r="B187" s="248" t="s">
        <v>538</v>
      </c>
      <c r="C187" s="248" t="s">
        <v>539</v>
      </c>
      <c r="D187" s="248" t="s">
        <v>512</v>
      </c>
      <c r="E187" s="248">
        <v>12340.0</v>
      </c>
      <c r="F187" s="287">
        <v>45623.0</v>
      </c>
      <c r="G187" s="248">
        <v>2024.0</v>
      </c>
      <c r="H187" s="248" t="s">
        <v>513</v>
      </c>
      <c r="I187" s="248" t="s">
        <v>514</v>
      </c>
      <c r="J187" s="248" t="s">
        <v>297</v>
      </c>
      <c r="K187" s="249" t="s">
        <v>66</v>
      </c>
      <c r="L187" s="257" t="s">
        <v>523</v>
      </c>
      <c r="M187" s="249"/>
      <c r="N187" s="249"/>
      <c r="O187" s="249"/>
      <c r="P187" s="249"/>
      <c r="Q187" s="249"/>
      <c r="R187" s="249"/>
      <c r="S187" s="249"/>
      <c r="T187" s="249"/>
      <c r="U187" s="249"/>
      <c r="V187" s="249"/>
    </row>
    <row r="188">
      <c r="A188" s="255" t="s">
        <v>921</v>
      </c>
      <c r="B188" s="248" t="s">
        <v>815</v>
      </c>
      <c r="C188" s="248" t="s">
        <v>728</v>
      </c>
      <c r="D188" s="248" t="s">
        <v>512</v>
      </c>
      <c r="E188" s="248">
        <v>1046.0</v>
      </c>
      <c r="F188" s="287">
        <v>45623.0</v>
      </c>
      <c r="G188" s="248">
        <v>2024.0</v>
      </c>
      <c r="H188" s="248" t="s">
        <v>513</v>
      </c>
      <c r="I188" s="248" t="s">
        <v>521</v>
      </c>
      <c r="J188" s="248" t="s">
        <v>297</v>
      </c>
      <c r="K188" s="249" t="s">
        <v>66</v>
      </c>
      <c r="L188" s="257" t="s">
        <v>523</v>
      </c>
      <c r="M188" s="249"/>
      <c r="N188" s="249"/>
      <c r="O188" s="249"/>
      <c r="P188" s="249"/>
      <c r="Q188" s="249"/>
      <c r="R188" s="249"/>
      <c r="S188" s="249"/>
      <c r="T188" s="249"/>
      <c r="U188" s="249"/>
      <c r="V188" s="249"/>
    </row>
    <row r="189">
      <c r="A189" s="255" t="s">
        <v>922</v>
      </c>
      <c r="B189" s="248" t="s">
        <v>845</v>
      </c>
      <c r="C189" s="248" t="s">
        <v>733</v>
      </c>
      <c r="D189" s="248" t="s">
        <v>512</v>
      </c>
      <c r="E189" s="248">
        <v>29930.0</v>
      </c>
      <c r="F189" s="287">
        <v>45623.0</v>
      </c>
      <c r="G189" s="248">
        <v>2024.0</v>
      </c>
      <c r="H189" s="248" t="s">
        <v>513</v>
      </c>
      <c r="I189" s="248" t="s">
        <v>514</v>
      </c>
      <c r="J189" s="248" t="s">
        <v>297</v>
      </c>
      <c r="K189" s="249" t="s">
        <v>66</v>
      </c>
      <c r="L189" s="257" t="s">
        <v>523</v>
      </c>
      <c r="M189" s="249"/>
      <c r="N189" s="249"/>
      <c r="O189" s="249"/>
      <c r="P189" s="249"/>
      <c r="Q189" s="249"/>
      <c r="R189" s="249"/>
      <c r="S189" s="249"/>
      <c r="T189" s="249"/>
      <c r="U189" s="249"/>
      <c r="V189" s="249"/>
    </row>
    <row r="190">
      <c r="A190" s="255" t="s">
        <v>923</v>
      </c>
      <c r="B190" s="248" t="s">
        <v>924</v>
      </c>
      <c r="C190" s="248" t="s">
        <v>725</v>
      </c>
      <c r="D190" s="248" t="s">
        <v>575</v>
      </c>
      <c r="E190" s="248">
        <v>5039.0</v>
      </c>
      <c r="F190" s="287">
        <v>45623.0</v>
      </c>
      <c r="G190" s="248">
        <v>2024.0</v>
      </c>
      <c r="H190" s="248" t="s">
        <v>513</v>
      </c>
      <c r="I190" s="248" t="s">
        <v>514</v>
      </c>
      <c r="J190" s="248" t="s">
        <v>297</v>
      </c>
      <c r="K190" s="249" t="s">
        <v>66</v>
      </c>
      <c r="L190" s="257" t="s">
        <v>523</v>
      </c>
      <c r="M190" s="249"/>
      <c r="N190" s="249"/>
      <c r="O190" s="249"/>
      <c r="P190" s="249"/>
      <c r="Q190" s="249"/>
      <c r="R190" s="249"/>
      <c r="S190" s="249"/>
      <c r="T190" s="249"/>
      <c r="U190" s="249"/>
      <c r="V190" s="249"/>
    </row>
    <row r="191">
      <c r="A191" s="255" t="s">
        <v>925</v>
      </c>
      <c r="B191" s="248" t="s">
        <v>679</v>
      </c>
      <c r="C191" s="248" t="s">
        <v>663</v>
      </c>
      <c r="D191" s="248" t="s">
        <v>512</v>
      </c>
      <c r="E191" s="248">
        <v>815000.0</v>
      </c>
      <c r="F191" s="287">
        <v>45621.0</v>
      </c>
      <c r="G191" s="248">
        <v>2024.0</v>
      </c>
      <c r="H191" s="248" t="s">
        <v>513</v>
      </c>
      <c r="I191" s="248" t="s">
        <v>514</v>
      </c>
      <c r="J191" s="248" t="s">
        <v>297</v>
      </c>
      <c r="K191" s="249" t="s">
        <v>66</v>
      </c>
      <c r="L191" s="257" t="s">
        <v>523</v>
      </c>
      <c r="M191" s="249"/>
      <c r="N191" s="249"/>
      <c r="O191" s="249"/>
      <c r="P191" s="249"/>
      <c r="Q191" s="249"/>
      <c r="R191" s="249"/>
      <c r="S191" s="249"/>
      <c r="T191" s="249"/>
      <c r="U191" s="249"/>
      <c r="V191" s="249"/>
    </row>
    <row r="192">
      <c r="A192" s="255" t="s">
        <v>926</v>
      </c>
      <c r="B192" s="248" t="s">
        <v>679</v>
      </c>
      <c r="C192" s="248" t="s">
        <v>663</v>
      </c>
      <c r="D192" s="248" t="s">
        <v>512</v>
      </c>
      <c r="E192" s="248">
        <v>650000.0</v>
      </c>
      <c r="F192" s="287">
        <v>45621.0</v>
      </c>
      <c r="G192" s="248">
        <v>2024.0</v>
      </c>
      <c r="H192" s="248" t="s">
        <v>513</v>
      </c>
      <c r="I192" s="248" t="s">
        <v>514</v>
      </c>
      <c r="J192" s="248" t="s">
        <v>297</v>
      </c>
      <c r="K192" s="249" t="s">
        <v>66</v>
      </c>
      <c r="L192" s="257" t="s">
        <v>523</v>
      </c>
      <c r="M192" s="249"/>
      <c r="N192" s="249"/>
      <c r="O192" s="249"/>
      <c r="P192" s="249"/>
      <c r="Q192" s="249"/>
      <c r="R192" s="249"/>
      <c r="S192" s="249"/>
      <c r="T192" s="249"/>
      <c r="U192" s="249"/>
      <c r="V192" s="249"/>
    </row>
    <row r="193">
      <c r="A193" s="255" t="s">
        <v>927</v>
      </c>
      <c r="B193" s="248" t="s">
        <v>586</v>
      </c>
      <c r="C193" s="248" t="s">
        <v>587</v>
      </c>
      <c r="D193" s="248" t="s">
        <v>512</v>
      </c>
      <c r="E193" s="248">
        <v>2155.0</v>
      </c>
      <c r="F193" s="287">
        <v>45621.0</v>
      </c>
      <c r="G193" s="248">
        <v>2024.0</v>
      </c>
      <c r="H193" s="248" t="s">
        <v>513</v>
      </c>
      <c r="I193" s="248" t="s">
        <v>928</v>
      </c>
      <c r="J193" s="248" t="s">
        <v>309</v>
      </c>
      <c r="K193" s="249" t="s">
        <v>66</v>
      </c>
      <c r="L193" s="257" t="s">
        <v>523</v>
      </c>
      <c r="M193" s="249"/>
      <c r="N193" s="249"/>
      <c r="O193" s="249"/>
      <c r="P193" s="249"/>
      <c r="Q193" s="249"/>
      <c r="R193" s="249"/>
      <c r="S193" s="249"/>
      <c r="T193" s="249"/>
      <c r="U193" s="249"/>
      <c r="V193" s="249"/>
    </row>
    <row r="194">
      <c r="A194" s="255" t="s">
        <v>929</v>
      </c>
      <c r="B194" s="248" t="s">
        <v>586</v>
      </c>
      <c r="C194" s="248" t="s">
        <v>587</v>
      </c>
      <c r="D194" s="248" t="s">
        <v>512</v>
      </c>
      <c r="E194" s="248">
        <v>1407.0</v>
      </c>
      <c r="F194" s="287">
        <v>45621.0</v>
      </c>
      <c r="G194" s="248">
        <v>2024.0</v>
      </c>
      <c r="H194" s="248" t="s">
        <v>513</v>
      </c>
      <c r="I194" s="248" t="s">
        <v>561</v>
      </c>
      <c r="J194" s="248" t="s">
        <v>309</v>
      </c>
      <c r="K194" s="249" t="s">
        <v>66</v>
      </c>
      <c r="L194" s="257" t="s">
        <v>523</v>
      </c>
      <c r="M194" s="249"/>
      <c r="N194" s="249"/>
      <c r="O194" s="249"/>
      <c r="P194" s="249"/>
      <c r="Q194" s="249"/>
      <c r="R194" s="249"/>
      <c r="S194" s="249"/>
      <c r="T194" s="249"/>
      <c r="U194" s="249"/>
      <c r="V194" s="249"/>
    </row>
    <row r="195">
      <c r="A195" s="255" t="s">
        <v>930</v>
      </c>
      <c r="B195" s="248" t="s">
        <v>75</v>
      </c>
      <c r="C195" s="248" t="s">
        <v>675</v>
      </c>
      <c r="D195" s="248" t="s">
        <v>520</v>
      </c>
      <c r="E195" s="248">
        <v>410747.0</v>
      </c>
      <c r="F195" s="287">
        <v>45621.0</v>
      </c>
      <c r="G195" s="248">
        <v>2024.0</v>
      </c>
      <c r="H195" s="248" t="s">
        <v>513</v>
      </c>
      <c r="I195" s="248" t="s">
        <v>514</v>
      </c>
      <c r="J195" s="248" t="s">
        <v>309</v>
      </c>
      <c r="K195" s="249" t="s">
        <v>66</v>
      </c>
      <c r="L195" s="257" t="s">
        <v>523</v>
      </c>
      <c r="M195" s="249"/>
      <c r="N195" s="249"/>
      <c r="O195" s="249"/>
      <c r="P195" s="249"/>
      <c r="Q195" s="249"/>
      <c r="R195" s="249"/>
      <c r="S195" s="249"/>
      <c r="T195" s="249"/>
      <c r="U195" s="249"/>
      <c r="V195" s="249"/>
    </row>
    <row r="196">
      <c r="A196" s="255" t="s">
        <v>931</v>
      </c>
      <c r="B196" s="248" t="s">
        <v>727</v>
      </c>
      <c r="C196" s="248" t="s">
        <v>658</v>
      </c>
      <c r="D196" s="248" t="s">
        <v>512</v>
      </c>
      <c r="E196" s="248">
        <v>80000.0</v>
      </c>
      <c r="F196" s="287">
        <v>45621.0</v>
      </c>
      <c r="G196" s="248">
        <v>2024.0</v>
      </c>
      <c r="H196" s="248" t="s">
        <v>513</v>
      </c>
      <c r="I196" s="248" t="s">
        <v>514</v>
      </c>
      <c r="J196" s="248" t="s">
        <v>297</v>
      </c>
      <c r="K196" s="249" t="s">
        <v>66</v>
      </c>
      <c r="L196" s="257" t="s">
        <v>523</v>
      </c>
      <c r="M196" s="249"/>
      <c r="N196" s="249"/>
      <c r="O196" s="249"/>
      <c r="P196" s="249"/>
      <c r="Q196" s="249"/>
      <c r="R196" s="249"/>
      <c r="S196" s="249"/>
      <c r="T196" s="249"/>
      <c r="U196" s="249"/>
      <c r="V196" s="249"/>
    </row>
    <row r="197">
      <c r="A197" s="255" t="s">
        <v>932</v>
      </c>
      <c r="B197" s="248" t="s">
        <v>595</v>
      </c>
      <c r="C197" s="248" t="s">
        <v>596</v>
      </c>
      <c r="D197" s="248" t="s">
        <v>512</v>
      </c>
      <c r="E197" s="248">
        <v>10098.0</v>
      </c>
      <c r="F197" s="287">
        <v>45618.0</v>
      </c>
      <c r="G197" s="248">
        <v>2024.0</v>
      </c>
      <c r="H197" s="248" t="s">
        <v>513</v>
      </c>
      <c r="I197" s="248" t="s">
        <v>521</v>
      </c>
      <c r="J197" s="248" t="s">
        <v>297</v>
      </c>
      <c r="K197" s="249" t="s">
        <v>66</v>
      </c>
      <c r="L197" s="257" t="s">
        <v>523</v>
      </c>
      <c r="M197" s="249"/>
      <c r="N197" s="249"/>
      <c r="O197" s="249"/>
      <c r="P197" s="249"/>
      <c r="Q197" s="249"/>
      <c r="R197" s="249"/>
      <c r="S197" s="249"/>
      <c r="T197" s="249"/>
      <c r="U197" s="249"/>
      <c r="V197" s="249"/>
    </row>
    <row r="198">
      <c r="A198" s="255" t="s">
        <v>933</v>
      </c>
      <c r="B198" s="248" t="s">
        <v>845</v>
      </c>
      <c r="C198" s="248" t="s">
        <v>733</v>
      </c>
      <c r="D198" s="248" t="s">
        <v>512</v>
      </c>
      <c r="E198" s="248">
        <v>15264.0</v>
      </c>
      <c r="F198" s="287">
        <v>45618.0</v>
      </c>
      <c r="G198" s="248">
        <v>2024.0</v>
      </c>
      <c r="H198" s="248" t="s">
        <v>513</v>
      </c>
      <c r="I198" s="248" t="s">
        <v>521</v>
      </c>
      <c r="J198" s="248" t="s">
        <v>297</v>
      </c>
      <c r="K198" s="249" t="s">
        <v>66</v>
      </c>
      <c r="L198" s="257" t="s">
        <v>523</v>
      </c>
      <c r="M198" s="249"/>
      <c r="N198" s="249"/>
      <c r="O198" s="249"/>
      <c r="P198" s="249"/>
      <c r="Q198" s="249"/>
      <c r="R198" s="249"/>
      <c r="S198" s="249"/>
      <c r="T198" s="249"/>
      <c r="U198" s="249"/>
      <c r="V198" s="249"/>
    </row>
    <row r="199">
      <c r="A199" s="255" t="s">
        <v>934</v>
      </c>
      <c r="B199" s="248" t="s">
        <v>924</v>
      </c>
      <c r="C199" s="248" t="s">
        <v>725</v>
      </c>
      <c r="D199" s="248" t="s">
        <v>512</v>
      </c>
      <c r="E199" s="248">
        <v>5239.0</v>
      </c>
      <c r="F199" s="287">
        <v>45618.0</v>
      </c>
      <c r="G199" s="248">
        <v>2024.0</v>
      </c>
      <c r="H199" s="248" t="s">
        <v>546</v>
      </c>
      <c r="I199" s="248" t="s">
        <v>521</v>
      </c>
      <c r="J199" s="248" t="s">
        <v>297</v>
      </c>
      <c r="K199" s="249" t="s">
        <v>66</v>
      </c>
      <c r="L199" s="257" t="s">
        <v>523</v>
      </c>
      <c r="M199" s="249"/>
      <c r="N199" s="249"/>
      <c r="O199" s="249"/>
      <c r="P199" s="249"/>
      <c r="Q199" s="249"/>
      <c r="R199" s="249"/>
      <c r="S199" s="249"/>
      <c r="T199" s="249"/>
      <c r="U199" s="249"/>
      <c r="V199" s="249"/>
    </row>
    <row r="200">
      <c r="A200" s="255" t="s">
        <v>935</v>
      </c>
      <c r="B200" s="248" t="s">
        <v>530</v>
      </c>
      <c r="C200" s="248" t="s">
        <v>531</v>
      </c>
      <c r="D200" s="248" t="s">
        <v>520</v>
      </c>
      <c r="E200" s="248">
        <v>1119.0</v>
      </c>
      <c r="F200" s="287">
        <v>45617.0</v>
      </c>
      <c r="G200" s="248">
        <v>2024.0</v>
      </c>
      <c r="H200" s="248" t="s">
        <v>513</v>
      </c>
      <c r="I200" s="248" t="s">
        <v>514</v>
      </c>
      <c r="J200" s="248" t="s">
        <v>309</v>
      </c>
      <c r="K200" s="249" t="s">
        <v>66</v>
      </c>
      <c r="L200" s="257" t="s">
        <v>523</v>
      </c>
      <c r="M200" s="249"/>
      <c r="N200" s="249"/>
      <c r="O200" s="249"/>
      <c r="P200" s="249"/>
      <c r="Q200" s="249"/>
      <c r="R200" s="249"/>
      <c r="S200" s="249"/>
      <c r="T200" s="249"/>
      <c r="U200" s="249"/>
      <c r="V200" s="249"/>
    </row>
    <row r="201">
      <c r="A201" s="255" t="s">
        <v>936</v>
      </c>
      <c r="B201" s="248" t="s">
        <v>878</v>
      </c>
      <c r="C201" s="248" t="s">
        <v>643</v>
      </c>
      <c r="D201" s="248" t="s">
        <v>512</v>
      </c>
      <c r="E201" s="248">
        <v>20000.0</v>
      </c>
      <c r="F201" s="287">
        <v>45617.0</v>
      </c>
      <c r="G201" s="248">
        <v>2024.0</v>
      </c>
      <c r="H201" s="248" t="s">
        <v>513</v>
      </c>
      <c r="I201" s="248" t="s">
        <v>514</v>
      </c>
      <c r="J201" s="248" t="s">
        <v>297</v>
      </c>
      <c r="K201" s="249" t="s">
        <v>66</v>
      </c>
      <c r="L201" s="257" t="s">
        <v>523</v>
      </c>
      <c r="M201" s="249"/>
      <c r="N201" s="249"/>
      <c r="O201" s="249"/>
      <c r="P201" s="249"/>
      <c r="Q201" s="249"/>
      <c r="R201" s="249"/>
      <c r="S201" s="249"/>
      <c r="T201" s="249"/>
      <c r="U201" s="249"/>
      <c r="V201" s="249"/>
    </row>
    <row r="202">
      <c r="A202" s="255" t="s">
        <v>937</v>
      </c>
      <c r="B202" s="248" t="s">
        <v>748</v>
      </c>
      <c r="C202" s="248" t="s">
        <v>694</v>
      </c>
      <c r="D202" s="248" t="s">
        <v>512</v>
      </c>
      <c r="E202" s="248">
        <v>57944.0</v>
      </c>
      <c r="F202" s="287">
        <v>45615.0</v>
      </c>
      <c r="G202" s="248">
        <v>2024.0</v>
      </c>
      <c r="H202" s="248" t="s">
        <v>546</v>
      </c>
      <c r="I202" s="248" t="s">
        <v>514</v>
      </c>
      <c r="J202" s="248" t="s">
        <v>297</v>
      </c>
      <c r="K202" s="249" t="s">
        <v>66</v>
      </c>
      <c r="L202" s="257" t="s">
        <v>523</v>
      </c>
      <c r="M202" s="249"/>
      <c r="N202" s="249"/>
      <c r="O202" s="249"/>
      <c r="P202" s="249"/>
      <c r="Q202" s="249"/>
      <c r="R202" s="249"/>
      <c r="S202" s="249"/>
      <c r="T202" s="249"/>
      <c r="U202" s="249"/>
      <c r="V202" s="249"/>
    </row>
    <row r="203">
      <c r="A203" s="255" t="s">
        <v>938</v>
      </c>
      <c r="B203" s="248" t="s">
        <v>705</v>
      </c>
      <c r="C203" s="248" t="s">
        <v>706</v>
      </c>
      <c r="D203" s="248" t="s">
        <v>512</v>
      </c>
      <c r="E203" s="248">
        <v>3100.0</v>
      </c>
      <c r="F203" s="287">
        <v>45615.0</v>
      </c>
      <c r="G203" s="248">
        <v>2024.0</v>
      </c>
      <c r="H203" s="248" t="s">
        <v>513</v>
      </c>
      <c r="I203" s="248" t="s">
        <v>514</v>
      </c>
      <c r="J203" s="248" t="s">
        <v>297</v>
      </c>
      <c r="K203" s="249" t="s">
        <v>66</v>
      </c>
      <c r="L203" s="257" t="s">
        <v>523</v>
      </c>
      <c r="M203" s="249"/>
      <c r="N203" s="249"/>
      <c r="O203" s="249"/>
      <c r="P203" s="249"/>
      <c r="Q203" s="249"/>
      <c r="R203" s="249"/>
      <c r="S203" s="249"/>
      <c r="T203" s="249"/>
      <c r="U203" s="249"/>
      <c r="V203" s="249"/>
    </row>
    <row r="204">
      <c r="A204" s="255" t="s">
        <v>939</v>
      </c>
      <c r="B204" s="248" t="s">
        <v>538</v>
      </c>
      <c r="C204" s="248" t="s">
        <v>539</v>
      </c>
      <c r="D204" s="248" t="s">
        <v>512</v>
      </c>
      <c r="E204" s="248">
        <v>2808.0</v>
      </c>
      <c r="F204" s="287">
        <v>45614.0</v>
      </c>
      <c r="G204" s="248">
        <v>2024.0</v>
      </c>
      <c r="H204" s="248" t="s">
        <v>513</v>
      </c>
      <c r="I204" s="248" t="s">
        <v>928</v>
      </c>
      <c r="J204" s="248" t="s">
        <v>309</v>
      </c>
      <c r="K204" s="249" t="s">
        <v>66</v>
      </c>
      <c r="L204" s="257" t="s">
        <v>523</v>
      </c>
      <c r="M204" s="249"/>
      <c r="N204" s="249"/>
      <c r="O204" s="249"/>
      <c r="P204" s="249"/>
      <c r="Q204" s="249"/>
      <c r="R204" s="249"/>
      <c r="S204" s="249"/>
      <c r="T204" s="249"/>
      <c r="U204" s="249"/>
      <c r="V204" s="249"/>
    </row>
    <row r="205">
      <c r="A205" s="255" t="s">
        <v>940</v>
      </c>
      <c r="B205" s="248" t="s">
        <v>542</v>
      </c>
      <c r="C205" s="248" t="s">
        <v>543</v>
      </c>
      <c r="D205" s="248" t="s">
        <v>512</v>
      </c>
      <c r="E205" s="248">
        <v>1177.0</v>
      </c>
      <c r="F205" s="287">
        <v>45614.0</v>
      </c>
      <c r="G205" s="248">
        <v>2024.0</v>
      </c>
      <c r="H205" s="248" t="s">
        <v>513</v>
      </c>
      <c r="I205" s="248" t="s">
        <v>514</v>
      </c>
      <c r="J205" s="248" t="s">
        <v>309</v>
      </c>
      <c r="K205" s="249" t="s">
        <v>66</v>
      </c>
      <c r="L205" s="257" t="s">
        <v>523</v>
      </c>
      <c r="M205" s="249"/>
      <c r="N205" s="249"/>
      <c r="O205" s="249"/>
      <c r="P205" s="249"/>
      <c r="Q205" s="249"/>
      <c r="R205" s="249"/>
      <c r="S205" s="249"/>
      <c r="T205" s="249"/>
      <c r="U205" s="249"/>
      <c r="V205" s="249"/>
    </row>
    <row r="206">
      <c r="A206" s="255" t="s">
        <v>941</v>
      </c>
      <c r="B206" s="248" t="s">
        <v>586</v>
      </c>
      <c r="C206" s="248" t="s">
        <v>587</v>
      </c>
      <c r="D206" s="248" t="s">
        <v>512</v>
      </c>
      <c r="E206" s="248">
        <v>1559.0</v>
      </c>
      <c r="F206" s="287">
        <v>45614.0</v>
      </c>
      <c r="G206" s="248">
        <v>2024.0</v>
      </c>
      <c r="H206" s="248" t="s">
        <v>513</v>
      </c>
      <c r="I206" s="248" t="s">
        <v>928</v>
      </c>
      <c r="J206" s="248" t="s">
        <v>309</v>
      </c>
      <c r="K206" s="249" t="s">
        <v>66</v>
      </c>
      <c r="L206" s="257" t="s">
        <v>523</v>
      </c>
      <c r="M206" s="249"/>
      <c r="N206" s="249"/>
      <c r="O206" s="249"/>
      <c r="P206" s="249"/>
      <c r="Q206" s="249"/>
      <c r="R206" s="249"/>
      <c r="S206" s="249"/>
      <c r="T206" s="249"/>
      <c r="U206" s="249"/>
      <c r="V206" s="249"/>
    </row>
    <row r="207">
      <c r="A207" s="255" t="s">
        <v>942</v>
      </c>
      <c r="B207" s="248" t="s">
        <v>586</v>
      </c>
      <c r="C207" s="248" t="s">
        <v>587</v>
      </c>
      <c r="D207" s="248" t="s">
        <v>512</v>
      </c>
      <c r="E207" s="248">
        <v>4237.0</v>
      </c>
      <c r="F207" s="287">
        <v>45614.0</v>
      </c>
      <c r="G207" s="248">
        <v>2024.0</v>
      </c>
      <c r="H207" s="248" t="s">
        <v>513</v>
      </c>
      <c r="I207" s="248" t="s">
        <v>514</v>
      </c>
      <c r="J207" s="248" t="s">
        <v>309</v>
      </c>
      <c r="K207" s="249" t="s">
        <v>66</v>
      </c>
      <c r="L207" s="257" t="s">
        <v>523</v>
      </c>
      <c r="M207" s="249"/>
      <c r="N207" s="249"/>
      <c r="O207" s="249"/>
      <c r="P207" s="249"/>
      <c r="Q207" s="249"/>
      <c r="R207" s="249"/>
      <c r="S207" s="249"/>
      <c r="T207" s="249"/>
      <c r="U207" s="249"/>
      <c r="V207" s="249"/>
    </row>
    <row r="208">
      <c r="A208" s="255" t="s">
        <v>943</v>
      </c>
      <c r="B208" s="248" t="s">
        <v>586</v>
      </c>
      <c r="C208" s="248" t="s">
        <v>587</v>
      </c>
      <c r="D208" s="248" t="s">
        <v>512</v>
      </c>
      <c r="E208" s="248">
        <v>1052.0</v>
      </c>
      <c r="F208" s="287">
        <v>45614.0</v>
      </c>
      <c r="G208" s="248">
        <v>2024.0</v>
      </c>
      <c r="H208" s="248" t="s">
        <v>513</v>
      </c>
      <c r="I208" s="248" t="s">
        <v>514</v>
      </c>
      <c r="J208" s="248" t="s">
        <v>309</v>
      </c>
      <c r="K208" s="249" t="s">
        <v>66</v>
      </c>
      <c r="L208" s="257" t="s">
        <v>523</v>
      </c>
      <c r="M208" s="249"/>
      <c r="N208" s="249"/>
      <c r="O208" s="249"/>
      <c r="P208" s="249"/>
      <c r="Q208" s="249"/>
      <c r="R208" s="249"/>
      <c r="S208" s="249"/>
      <c r="T208" s="249"/>
      <c r="U208" s="249"/>
      <c r="V208" s="249"/>
    </row>
    <row r="209">
      <c r="A209" s="255" t="s">
        <v>944</v>
      </c>
      <c r="B209" s="248" t="s">
        <v>611</v>
      </c>
      <c r="C209" s="248" t="s">
        <v>612</v>
      </c>
      <c r="D209" s="248" t="s">
        <v>512</v>
      </c>
      <c r="E209" s="248">
        <v>2522.0</v>
      </c>
      <c r="F209" s="287">
        <v>45614.0</v>
      </c>
      <c r="G209" s="248">
        <v>2024.0</v>
      </c>
      <c r="H209" s="248" t="s">
        <v>546</v>
      </c>
      <c r="I209" s="248" t="s">
        <v>561</v>
      </c>
      <c r="J209" s="248" t="s">
        <v>309</v>
      </c>
      <c r="K209" s="249" t="s">
        <v>66</v>
      </c>
      <c r="L209" s="257" t="s">
        <v>523</v>
      </c>
      <c r="M209" s="249"/>
      <c r="N209" s="249"/>
      <c r="O209" s="249"/>
      <c r="P209" s="249"/>
      <c r="Q209" s="249"/>
      <c r="R209" s="249"/>
      <c r="S209" s="249"/>
      <c r="T209" s="249"/>
      <c r="U209" s="249"/>
      <c r="V209" s="249"/>
    </row>
    <row r="210">
      <c r="A210" s="255" t="s">
        <v>945</v>
      </c>
      <c r="B210" s="248" t="s">
        <v>586</v>
      </c>
      <c r="C210" s="248" t="s">
        <v>587</v>
      </c>
      <c r="D210" s="248" t="s">
        <v>512</v>
      </c>
      <c r="E210" s="248">
        <v>2897.0</v>
      </c>
      <c r="F210" s="287">
        <v>45611.0</v>
      </c>
      <c r="G210" s="248">
        <v>2024.0</v>
      </c>
      <c r="H210" s="248" t="s">
        <v>513</v>
      </c>
      <c r="I210" s="248" t="s">
        <v>521</v>
      </c>
      <c r="J210" s="248" t="s">
        <v>297</v>
      </c>
      <c r="K210" s="249" t="s">
        <v>66</v>
      </c>
      <c r="L210" s="257" t="s">
        <v>523</v>
      </c>
      <c r="M210" s="249"/>
      <c r="N210" s="249"/>
      <c r="O210" s="249"/>
      <c r="P210" s="249"/>
      <c r="Q210" s="249"/>
      <c r="R210" s="249"/>
      <c r="S210" s="249"/>
      <c r="T210" s="249"/>
      <c r="U210" s="249"/>
      <c r="V210" s="249"/>
    </row>
    <row r="211">
      <c r="A211" s="255" t="s">
        <v>946</v>
      </c>
      <c r="B211" s="248" t="s">
        <v>542</v>
      </c>
      <c r="C211" s="248" t="s">
        <v>543</v>
      </c>
      <c r="D211" s="248" t="s">
        <v>520</v>
      </c>
      <c r="E211" s="248">
        <v>5198.0</v>
      </c>
      <c r="F211" s="287">
        <v>45611.0</v>
      </c>
      <c r="G211" s="248">
        <v>2024.0</v>
      </c>
      <c r="H211" s="248" t="s">
        <v>513</v>
      </c>
      <c r="I211" s="248" t="s">
        <v>521</v>
      </c>
      <c r="J211" s="248" t="s">
        <v>309</v>
      </c>
      <c r="K211" s="249" t="s">
        <v>66</v>
      </c>
      <c r="L211" s="257" t="s">
        <v>523</v>
      </c>
      <c r="M211" s="249"/>
      <c r="N211" s="249"/>
      <c r="O211" s="249"/>
      <c r="P211" s="249"/>
      <c r="Q211" s="249"/>
      <c r="R211" s="249"/>
      <c r="S211" s="249"/>
      <c r="T211" s="249"/>
      <c r="U211" s="249"/>
      <c r="V211" s="249"/>
    </row>
    <row r="212">
      <c r="A212" s="255" t="s">
        <v>947</v>
      </c>
      <c r="B212" s="248" t="s">
        <v>679</v>
      </c>
      <c r="C212" s="248" t="s">
        <v>663</v>
      </c>
      <c r="D212" s="248" t="s">
        <v>520</v>
      </c>
      <c r="E212" s="248">
        <v>76922.0</v>
      </c>
      <c r="F212" s="287">
        <v>45611.0</v>
      </c>
      <c r="G212" s="248">
        <v>2024.0</v>
      </c>
      <c r="H212" s="248" t="s">
        <v>513</v>
      </c>
      <c r="I212" s="248" t="s">
        <v>514</v>
      </c>
      <c r="J212" s="248" t="s">
        <v>309</v>
      </c>
      <c r="K212" s="249" t="s">
        <v>66</v>
      </c>
      <c r="L212" s="257" t="s">
        <v>523</v>
      </c>
      <c r="M212" s="249"/>
      <c r="N212" s="249"/>
      <c r="O212" s="249"/>
      <c r="P212" s="249"/>
      <c r="Q212" s="249"/>
      <c r="R212" s="249"/>
      <c r="S212" s="249"/>
      <c r="T212" s="249"/>
      <c r="U212" s="249"/>
      <c r="V212" s="249"/>
    </row>
    <row r="213">
      <c r="A213" s="255" t="s">
        <v>948</v>
      </c>
      <c r="B213" s="248" t="s">
        <v>573</v>
      </c>
      <c r="C213" s="248" t="s">
        <v>574</v>
      </c>
      <c r="D213" s="248" t="s">
        <v>512</v>
      </c>
      <c r="E213" s="248">
        <v>21565.0</v>
      </c>
      <c r="F213" s="287">
        <v>45611.0</v>
      </c>
      <c r="G213" s="248">
        <v>2024.0</v>
      </c>
      <c r="H213" s="248" t="s">
        <v>513</v>
      </c>
      <c r="I213" s="248" t="s">
        <v>514</v>
      </c>
      <c r="J213" s="248" t="s">
        <v>297</v>
      </c>
      <c r="K213" s="249" t="s">
        <v>66</v>
      </c>
      <c r="L213" s="257" t="s">
        <v>523</v>
      </c>
      <c r="M213" s="249"/>
      <c r="N213" s="249"/>
      <c r="O213" s="249"/>
      <c r="P213" s="249"/>
      <c r="Q213" s="249"/>
      <c r="R213" s="249"/>
      <c r="S213" s="249"/>
      <c r="T213" s="249"/>
      <c r="U213" s="249"/>
      <c r="V213" s="249"/>
    </row>
    <row r="214">
      <c r="A214" s="255" t="s">
        <v>949</v>
      </c>
      <c r="B214" s="248" t="s">
        <v>590</v>
      </c>
      <c r="C214" s="248" t="s">
        <v>591</v>
      </c>
      <c r="D214" s="248" t="s">
        <v>520</v>
      </c>
      <c r="E214" s="248">
        <v>1974.0</v>
      </c>
      <c r="F214" s="287">
        <v>45611.0</v>
      </c>
      <c r="G214" s="248">
        <v>2024.0</v>
      </c>
      <c r="H214" s="248" t="s">
        <v>546</v>
      </c>
      <c r="I214" s="248" t="s">
        <v>514</v>
      </c>
      <c r="J214" s="248" t="s">
        <v>309</v>
      </c>
      <c r="K214" s="249" t="s">
        <v>66</v>
      </c>
      <c r="L214" s="257" t="s">
        <v>523</v>
      </c>
      <c r="M214" s="249"/>
      <c r="N214" s="249"/>
      <c r="O214" s="249"/>
      <c r="P214" s="249"/>
      <c r="Q214" s="249"/>
      <c r="R214" s="249"/>
      <c r="S214" s="249"/>
      <c r="T214" s="249"/>
      <c r="U214" s="249"/>
      <c r="V214" s="249"/>
    </row>
    <row r="215">
      <c r="A215" s="255" t="s">
        <v>950</v>
      </c>
      <c r="B215" s="248" t="s">
        <v>924</v>
      </c>
      <c r="C215" s="248" t="s">
        <v>725</v>
      </c>
      <c r="D215" s="248" t="s">
        <v>512</v>
      </c>
      <c r="E215" s="248">
        <v>20604.0</v>
      </c>
      <c r="F215" s="287">
        <v>45611.0</v>
      </c>
      <c r="G215" s="248">
        <v>2024.0</v>
      </c>
      <c r="H215" s="248" t="s">
        <v>513</v>
      </c>
      <c r="I215" s="248" t="s">
        <v>514</v>
      </c>
      <c r="J215" s="248" t="s">
        <v>297</v>
      </c>
      <c r="K215" s="249" t="s">
        <v>66</v>
      </c>
      <c r="L215" s="257" t="s">
        <v>523</v>
      </c>
      <c r="M215" s="249"/>
      <c r="N215" s="249"/>
      <c r="O215" s="249"/>
      <c r="P215" s="249"/>
      <c r="Q215" s="249"/>
      <c r="R215" s="249"/>
      <c r="S215" s="249"/>
      <c r="T215" s="249"/>
      <c r="U215" s="249"/>
      <c r="V215" s="249"/>
    </row>
    <row r="216">
      <c r="A216" s="255" t="s">
        <v>951</v>
      </c>
      <c r="B216" s="248" t="s">
        <v>679</v>
      </c>
      <c r="C216" s="248" t="s">
        <v>663</v>
      </c>
      <c r="D216" s="248" t="s">
        <v>512</v>
      </c>
      <c r="E216" s="248">
        <v>7195.0</v>
      </c>
      <c r="F216" s="287">
        <v>45611.0</v>
      </c>
      <c r="G216" s="248">
        <v>2024.0</v>
      </c>
      <c r="H216" s="248" t="s">
        <v>513</v>
      </c>
      <c r="I216" s="248" t="s">
        <v>561</v>
      </c>
      <c r="J216" s="248" t="s">
        <v>297</v>
      </c>
      <c r="K216" s="249" t="s">
        <v>66</v>
      </c>
      <c r="L216" s="257" t="s">
        <v>523</v>
      </c>
      <c r="M216" s="249"/>
      <c r="N216" s="249"/>
      <c r="O216" s="249"/>
      <c r="P216" s="249"/>
      <c r="Q216" s="249"/>
      <c r="R216" s="249"/>
      <c r="S216" s="249"/>
      <c r="T216" s="249"/>
      <c r="U216" s="249"/>
      <c r="V216" s="249"/>
    </row>
    <row r="217">
      <c r="A217" s="255" t="s">
        <v>952</v>
      </c>
      <c r="B217" s="248" t="s">
        <v>705</v>
      </c>
      <c r="C217" s="248" t="s">
        <v>706</v>
      </c>
      <c r="D217" s="248" t="s">
        <v>512</v>
      </c>
      <c r="E217" s="248">
        <v>27426.0</v>
      </c>
      <c r="F217" s="287">
        <v>45610.0</v>
      </c>
      <c r="G217" s="248">
        <v>2024.0</v>
      </c>
      <c r="H217" s="248" t="s">
        <v>513</v>
      </c>
      <c r="I217" s="248" t="s">
        <v>561</v>
      </c>
      <c r="J217" s="248" t="s">
        <v>309</v>
      </c>
      <c r="K217" s="249" t="s">
        <v>66</v>
      </c>
      <c r="L217" s="257" t="s">
        <v>523</v>
      </c>
      <c r="M217" s="249"/>
      <c r="N217" s="249"/>
      <c r="O217" s="249"/>
      <c r="P217" s="249"/>
      <c r="Q217" s="249"/>
      <c r="R217" s="249"/>
      <c r="S217" s="249"/>
      <c r="T217" s="249"/>
      <c r="U217" s="249"/>
      <c r="V217" s="249"/>
    </row>
    <row r="218">
      <c r="A218" s="255" t="s">
        <v>953</v>
      </c>
      <c r="B218" s="248" t="s">
        <v>586</v>
      </c>
      <c r="C218" s="248" t="s">
        <v>587</v>
      </c>
      <c r="D218" s="248" t="s">
        <v>520</v>
      </c>
      <c r="E218" s="248">
        <v>4945.0</v>
      </c>
      <c r="F218" s="287">
        <v>45610.0</v>
      </c>
      <c r="G218" s="248">
        <v>2024.0</v>
      </c>
      <c r="H218" s="248" t="s">
        <v>551</v>
      </c>
      <c r="I218" s="248" t="s">
        <v>547</v>
      </c>
      <c r="J218" s="248" t="s">
        <v>309</v>
      </c>
      <c r="K218" s="249" t="s">
        <v>66</v>
      </c>
      <c r="L218" s="257" t="s">
        <v>523</v>
      </c>
      <c r="M218" s="249"/>
      <c r="N218" s="249"/>
      <c r="O218" s="249"/>
      <c r="P218" s="249"/>
      <c r="Q218" s="249"/>
      <c r="R218" s="249"/>
      <c r="S218" s="249"/>
      <c r="T218" s="249"/>
      <c r="U218" s="249"/>
      <c r="V218" s="249"/>
    </row>
    <row r="219">
      <c r="A219" s="255" t="s">
        <v>954</v>
      </c>
      <c r="B219" s="248" t="s">
        <v>727</v>
      </c>
      <c r="C219" s="248" t="s">
        <v>658</v>
      </c>
      <c r="D219" s="248" t="s">
        <v>512</v>
      </c>
      <c r="E219" s="248">
        <v>366491.0</v>
      </c>
      <c r="F219" s="287">
        <v>45609.0</v>
      </c>
      <c r="G219" s="248">
        <v>2024.0</v>
      </c>
      <c r="H219" s="248" t="s">
        <v>513</v>
      </c>
      <c r="I219" s="248" t="s">
        <v>514</v>
      </c>
      <c r="J219" s="248" t="s">
        <v>297</v>
      </c>
      <c r="K219" s="249" t="s">
        <v>66</v>
      </c>
      <c r="L219" s="257" t="s">
        <v>523</v>
      </c>
      <c r="M219" s="249"/>
      <c r="N219" s="249"/>
      <c r="O219" s="249"/>
      <c r="P219" s="249"/>
      <c r="Q219" s="249"/>
      <c r="R219" s="249"/>
      <c r="S219" s="249"/>
      <c r="T219" s="249"/>
      <c r="U219" s="249"/>
      <c r="V219" s="249"/>
    </row>
    <row r="220">
      <c r="A220" s="255" t="s">
        <v>955</v>
      </c>
      <c r="B220" s="248" t="s">
        <v>956</v>
      </c>
      <c r="C220" s="248" t="s">
        <v>680</v>
      </c>
      <c r="D220" s="248" t="s">
        <v>512</v>
      </c>
      <c r="E220" s="248">
        <v>56902.0</v>
      </c>
      <c r="F220" s="287">
        <v>45608.0</v>
      </c>
      <c r="G220" s="248">
        <v>2024.0</v>
      </c>
      <c r="H220" s="248" t="s">
        <v>513</v>
      </c>
      <c r="I220" s="248" t="s">
        <v>521</v>
      </c>
      <c r="J220" s="248" t="s">
        <v>297</v>
      </c>
      <c r="K220" s="249" t="s">
        <v>66</v>
      </c>
      <c r="L220" s="257" t="s">
        <v>523</v>
      </c>
      <c r="M220" s="249"/>
      <c r="N220" s="249"/>
      <c r="O220" s="249"/>
      <c r="P220" s="249"/>
      <c r="Q220" s="249"/>
      <c r="R220" s="249"/>
      <c r="S220" s="249"/>
      <c r="T220" s="249"/>
      <c r="U220" s="249"/>
      <c r="V220" s="249"/>
    </row>
    <row r="221">
      <c r="A221" s="255" t="s">
        <v>957</v>
      </c>
      <c r="B221" s="248" t="s">
        <v>688</v>
      </c>
      <c r="C221" s="248" t="s">
        <v>683</v>
      </c>
      <c r="D221" s="248" t="s">
        <v>512</v>
      </c>
      <c r="E221" s="248">
        <v>3775.0</v>
      </c>
      <c r="F221" s="287">
        <v>45608.0</v>
      </c>
      <c r="G221" s="248">
        <v>2024.0</v>
      </c>
      <c r="H221" s="248" t="s">
        <v>513</v>
      </c>
      <c r="I221" s="248" t="s">
        <v>521</v>
      </c>
      <c r="J221" s="248" t="s">
        <v>297</v>
      </c>
      <c r="K221" s="249" t="s">
        <v>66</v>
      </c>
      <c r="L221" s="257" t="s">
        <v>523</v>
      </c>
      <c r="M221" s="249"/>
      <c r="N221" s="249"/>
      <c r="O221" s="249"/>
      <c r="P221" s="249"/>
      <c r="Q221" s="249"/>
      <c r="R221" s="249"/>
      <c r="S221" s="249"/>
      <c r="T221" s="249"/>
      <c r="U221" s="249"/>
      <c r="V221" s="249"/>
    </row>
    <row r="222">
      <c r="A222" s="255" t="s">
        <v>958</v>
      </c>
      <c r="B222" s="248" t="s">
        <v>75</v>
      </c>
      <c r="C222" s="248" t="s">
        <v>675</v>
      </c>
      <c r="D222" s="248" t="s">
        <v>512</v>
      </c>
      <c r="E222" s="248">
        <v>2319.0</v>
      </c>
      <c r="F222" s="287">
        <v>45607.0</v>
      </c>
      <c r="G222" s="248">
        <v>2024.0</v>
      </c>
      <c r="H222" s="248" t="s">
        <v>513</v>
      </c>
      <c r="I222" s="248" t="s">
        <v>521</v>
      </c>
      <c r="J222" s="248" t="s">
        <v>297</v>
      </c>
      <c r="K222" s="249" t="s">
        <v>66</v>
      </c>
      <c r="L222" s="257" t="s">
        <v>523</v>
      </c>
      <c r="M222" s="249"/>
      <c r="N222" s="249"/>
      <c r="O222" s="249"/>
      <c r="P222" s="249"/>
      <c r="Q222" s="249"/>
      <c r="R222" s="249"/>
      <c r="S222" s="249"/>
      <c r="T222" s="249"/>
      <c r="U222" s="249"/>
      <c r="V222" s="249"/>
    </row>
    <row r="223">
      <c r="A223" s="255" t="s">
        <v>959</v>
      </c>
      <c r="B223" s="248" t="s">
        <v>586</v>
      </c>
      <c r="C223" s="248" t="s">
        <v>587</v>
      </c>
      <c r="D223" s="248" t="s">
        <v>520</v>
      </c>
      <c r="E223" s="248">
        <v>1232.0</v>
      </c>
      <c r="F223" s="256">
        <v>45604.0</v>
      </c>
      <c r="G223" s="248">
        <v>2024.0</v>
      </c>
      <c r="H223" s="248" t="s">
        <v>546</v>
      </c>
      <c r="I223" s="248" t="s">
        <v>592</v>
      </c>
      <c r="J223" s="248" t="s">
        <v>309</v>
      </c>
      <c r="K223" s="249" t="s">
        <v>66</v>
      </c>
      <c r="L223" s="257" t="s">
        <v>523</v>
      </c>
      <c r="M223" s="249"/>
      <c r="N223" s="249"/>
      <c r="O223" s="249"/>
      <c r="P223" s="249"/>
      <c r="Q223" s="249"/>
      <c r="R223" s="249"/>
      <c r="S223" s="249"/>
      <c r="T223" s="249"/>
      <c r="U223" s="249"/>
      <c r="V223" s="249"/>
    </row>
    <row r="224">
      <c r="A224" s="255" t="s">
        <v>960</v>
      </c>
      <c r="B224" s="248" t="s">
        <v>590</v>
      </c>
      <c r="C224" s="248" t="s">
        <v>591</v>
      </c>
      <c r="D224" s="248" t="s">
        <v>512</v>
      </c>
      <c r="E224" s="248">
        <v>3800.0</v>
      </c>
      <c r="F224" s="256">
        <v>45604.0</v>
      </c>
      <c r="G224" s="248">
        <v>2024.0</v>
      </c>
      <c r="H224" s="248" t="s">
        <v>513</v>
      </c>
      <c r="I224" s="248" t="s">
        <v>521</v>
      </c>
      <c r="J224" s="248" t="s">
        <v>297</v>
      </c>
      <c r="K224" s="249" t="s">
        <v>66</v>
      </c>
      <c r="L224" s="257" t="s">
        <v>523</v>
      </c>
      <c r="M224" s="249"/>
      <c r="N224" s="249"/>
      <c r="O224" s="249"/>
      <c r="P224" s="249"/>
      <c r="Q224" s="249"/>
      <c r="R224" s="249"/>
      <c r="S224" s="249"/>
      <c r="T224" s="249"/>
      <c r="U224" s="249"/>
      <c r="V224" s="249"/>
    </row>
    <row r="225">
      <c r="A225" s="255" t="s">
        <v>961</v>
      </c>
      <c r="B225" s="248" t="s">
        <v>679</v>
      </c>
      <c r="C225" s="248" t="s">
        <v>663</v>
      </c>
      <c r="D225" s="248" t="s">
        <v>512</v>
      </c>
      <c r="E225" s="248">
        <v>36959.0</v>
      </c>
      <c r="F225" s="256">
        <v>45603.0</v>
      </c>
      <c r="G225" s="248">
        <v>2024.0</v>
      </c>
      <c r="H225" s="248" t="s">
        <v>513</v>
      </c>
      <c r="I225" s="248" t="s">
        <v>514</v>
      </c>
      <c r="J225" s="248" t="s">
        <v>297</v>
      </c>
      <c r="K225" s="249" t="s">
        <v>66</v>
      </c>
      <c r="L225" s="257" t="s">
        <v>523</v>
      </c>
      <c r="M225" s="249"/>
      <c r="N225" s="249"/>
      <c r="O225" s="249"/>
      <c r="P225" s="249"/>
      <c r="Q225" s="249"/>
      <c r="R225" s="249"/>
      <c r="S225" s="249"/>
      <c r="T225" s="249"/>
      <c r="U225" s="249"/>
      <c r="V225" s="249"/>
    </row>
    <row r="226">
      <c r="A226" s="255" t="s">
        <v>962</v>
      </c>
      <c r="B226" s="248" t="s">
        <v>721</v>
      </c>
      <c r="C226" s="248" t="s">
        <v>649</v>
      </c>
      <c r="D226" s="248" t="s">
        <v>512</v>
      </c>
      <c r="E226" s="248">
        <v>133149.0</v>
      </c>
      <c r="F226" s="256">
        <v>45603.0</v>
      </c>
      <c r="G226" s="248">
        <v>2024.0</v>
      </c>
      <c r="H226" s="248" t="s">
        <v>513</v>
      </c>
      <c r="I226" s="248" t="s">
        <v>514</v>
      </c>
      <c r="J226" s="248" t="s">
        <v>297</v>
      </c>
      <c r="K226" s="249" t="s">
        <v>66</v>
      </c>
      <c r="L226" s="257" t="s">
        <v>523</v>
      </c>
      <c r="M226" s="249"/>
      <c r="N226" s="249"/>
      <c r="O226" s="249"/>
      <c r="P226" s="249"/>
      <c r="Q226" s="249"/>
      <c r="R226" s="249"/>
      <c r="S226" s="249"/>
      <c r="T226" s="249"/>
      <c r="U226" s="249"/>
      <c r="V226" s="249"/>
    </row>
    <row r="227">
      <c r="A227" s="255" t="s">
        <v>963</v>
      </c>
      <c r="B227" s="248" t="s">
        <v>573</v>
      </c>
      <c r="C227" s="248" t="s">
        <v>574</v>
      </c>
      <c r="D227" s="248" t="s">
        <v>520</v>
      </c>
      <c r="E227" s="248">
        <v>63052.0</v>
      </c>
      <c r="F227" s="256">
        <v>45603.0</v>
      </c>
      <c r="G227" s="248">
        <v>2024.0</v>
      </c>
      <c r="H227" s="248" t="s">
        <v>513</v>
      </c>
      <c r="I227" s="248" t="s">
        <v>561</v>
      </c>
      <c r="J227" s="248" t="s">
        <v>309</v>
      </c>
      <c r="K227" s="249" t="s">
        <v>66</v>
      </c>
      <c r="L227" s="257" t="s">
        <v>523</v>
      </c>
      <c r="M227" s="249"/>
      <c r="N227" s="249"/>
      <c r="O227" s="249"/>
      <c r="P227" s="249"/>
      <c r="Q227" s="249"/>
      <c r="R227" s="249"/>
      <c r="S227" s="249"/>
      <c r="T227" s="249"/>
      <c r="U227" s="249"/>
      <c r="V227" s="249"/>
    </row>
    <row r="228">
      <c r="A228" s="255" t="s">
        <v>964</v>
      </c>
      <c r="B228" s="248" t="s">
        <v>721</v>
      </c>
      <c r="C228" s="248" t="s">
        <v>649</v>
      </c>
      <c r="D228" s="248" t="s">
        <v>512</v>
      </c>
      <c r="E228" s="248">
        <v>38945.0</v>
      </c>
      <c r="F228" s="256">
        <v>45601.0</v>
      </c>
      <c r="G228" s="248">
        <v>2024.0</v>
      </c>
      <c r="H228" s="248" t="s">
        <v>546</v>
      </c>
      <c r="I228" s="248" t="s">
        <v>521</v>
      </c>
      <c r="J228" s="248" t="s">
        <v>297</v>
      </c>
      <c r="K228" s="249" t="s">
        <v>66</v>
      </c>
      <c r="L228" s="257" t="s">
        <v>523</v>
      </c>
      <c r="M228" s="249"/>
      <c r="N228" s="249"/>
      <c r="O228" s="249"/>
      <c r="P228" s="249"/>
      <c r="Q228" s="249"/>
      <c r="R228" s="249"/>
      <c r="S228" s="249"/>
      <c r="T228" s="249"/>
      <c r="U228" s="249"/>
      <c r="V228" s="249"/>
    </row>
    <row r="229">
      <c r="A229" s="255" t="s">
        <v>965</v>
      </c>
      <c r="B229" s="248" t="s">
        <v>966</v>
      </c>
      <c r="C229" s="248" t="s">
        <v>737</v>
      </c>
      <c r="D229" s="248" t="s">
        <v>512</v>
      </c>
      <c r="E229" s="248">
        <v>18003.0</v>
      </c>
      <c r="F229" s="256">
        <v>45601.0</v>
      </c>
      <c r="G229" s="248">
        <v>2024.0</v>
      </c>
      <c r="H229" s="248" t="s">
        <v>513</v>
      </c>
      <c r="I229" s="248" t="s">
        <v>514</v>
      </c>
      <c r="J229" s="248" t="s">
        <v>297</v>
      </c>
      <c r="K229" s="249" t="s">
        <v>66</v>
      </c>
      <c r="L229" s="257" t="s">
        <v>523</v>
      </c>
      <c r="M229" s="249"/>
      <c r="N229" s="249"/>
      <c r="O229" s="249"/>
      <c r="P229" s="249"/>
      <c r="Q229" s="249"/>
      <c r="R229" s="249"/>
      <c r="S229" s="249"/>
      <c r="T229" s="249"/>
      <c r="U229" s="249"/>
      <c r="V229" s="249"/>
    </row>
    <row r="230">
      <c r="A230" s="255" t="s">
        <v>967</v>
      </c>
      <c r="B230" s="248" t="s">
        <v>878</v>
      </c>
      <c r="C230" s="248" t="s">
        <v>643</v>
      </c>
      <c r="D230" s="248" t="s">
        <v>520</v>
      </c>
      <c r="E230" s="248">
        <v>305088.0</v>
      </c>
      <c r="F230" s="256">
        <v>45600.0</v>
      </c>
      <c r="G230" s="248">
        <v>2024.0</v>
      </c>
      <c r="H230" s="248" t="s">
        <v>513</v>
      </c>
      <c r="I230" s="248" t="s">
        <v>514</v>
      </c>
      <c r="J230" s="248" t="s">
        <v>309</v>
      </c>
      <c r="K230" s="249" t="s">
        <v>66</v>
      </c>
      <c r="L230" s="257" t="s">
        <v>523</v>
      </c>
      <c r="M230" s="249"/>
      <c r="N230" s="249"/>
      <c r="O230" s="249"/>
      <c r="P230" s="249"/>
      <c r="Q230" s="249"/>
      <c r="R230" s="249"/>
      <c r="S230" s="249"/>
      <c r="T230" s="249"/>
      <c r="U230" s="249"/>
      <c r="V230" s="249"/>
    </row>
    <row r="231">
      <c r="A231" s="255" t="s">
        <v>968</v>
      </c>
      <c r="B231" s="248" t="s">
        <v>878</v>
      </c>
      <c r="C231" s="248" t="s">
        <v>643</v>
      </c>
      <c r="D231" s="248" t="s">
        <v>512</v>
      </c>
      <c r="E231" s="248">
        <v>1100.0</v>
      </c>
      <c r="F231" s="256">
        <v>45600.0</v>
      </c>
      <c r="G231" s="248">
        <v>2024.0</v>
      </c>
      <c r="H231" s="248" t="s">
        <v>546</v>
      </c>
      <c r="I231" s="248" t="s">
        <v>521</v>
      </c>
      <c r="J231" s="248" t="s">
        <v>297</v>
      </c>
      <c r="K231" s="249" t="s">
        <v>66</v>
      </c>
      <c r="L231" s="257" t="s">
        <v>523</v>
      </c>
      <c r="M231" s="249"/>
      <c r="N231" s="249"/>
      <c r="O231" s="249"/>
      <c r="P231" s="249"/>
      <c r="Q231" s="249"/>
      <c r="R231" s="249"/>
      <c r="S231" s="249"/>
      <c r="T231" s="249"/>
      <c r="U231" s="249"/>
      <c r="V231" s="249"/>
    </row>
    <row r="232">
      <c r="A232" s="255" t="s">
        <v>969</v>
      </c>
      <c r="B232" s="248" t="s">
        <v>573</v>
      </c>
      <c r="C232" s="248" t="s">
        <v>574</v>
      </c>
      <c r="D232" s="248" t="s">
        <v>512</v>
      </c>
      <c r="E232" s="248">
        <v>4973.0</v>
      </c>
      <c r="F232" s="256">
        <v>45600.0</v>
      </c>
      <c r="G232" s="248">
        <v>2024.0</v>
      </c>
      <c r="H232" s="248" t="s">
        <v>546</v>
      </c>
      <c r="I232" s="248" t="s">
        <v>592</v>
      </c>
      <c r="J232" s="248" t="s">
        <v>297</v>
      </c>
      <c r="K232" s="249" t="s">
        <v>66</v>
      </c>
      <c r="L232" s="257" t="s">
        <v>523</v>
      </c>
      <c r="M232" s="249"/>
      <c r="N232" s="249"/>
      <c r="O232" s="249"/>
      <c r="P232" s="249"/>
      <c r="Q232" s="249"/>
      <c r="R232" s="249"/>
      <c r="S232" s="249"/>
      <c r="T232" s="249"/>
      <c r="U232" s="249"/>
      <c r="V232" s="249"/>
    </row>
    <row r="233">
      <c r="A233" s="255" t="s">
        <v>970</v>
      </c>
      <c r="B233" s="248" t="s">
        <v>705</v>
      </c>
      <c r="C233" s="248" t="s">
        <v>706</v>
      </c>
      <c r="D233" s="248" t="s">
        <v>512</v>
      </c>
      <c r="E233" s="248">
        <v>40345.0</v>
      </c>
      <c r="F233" s="256">
        <v>45597.0</v>
      </c>
      <c r="G233" s="248">
        <v>2024.0</v>
      </c>
      <c r="H233" s="248" t="s">
        <v>546</v>
      </c>
      <c r="I233" s="248" t="s">
        <v>514</v>
      </c>
      <c r="J233" s="248" t="s">
        <v>297</v>
      </c>
      <c r="K233" s="249" t="s">
        <v>66</v>
      </c>
      <c r="L233" s="257" t="s">
        <v>523</v>
      </c>
      <c r="M233" s="249"/>
      <c r="N233" s="249"/>
      <c r="O233" s="249"/>
      <c r="P233" s="249"/>
      <c r="Q233" s="249"/>
      <c r="R233" s="249"/>
      <c r="S233" s="249"/>
      <c r="T233" s="249"/>
      <c r="U233" s="249"/>
      <c r="V233" s="249"/>
    </row>
    <row r="234">
      <c r="A234" s="255" t="s">
        <v>971</v>
      </c>
      <c r="B234" s="248" t="s">
        <v>721</v>
      </c>
      <c r="C234" s="248" t="s">
        <v>649</v>
      </c>
      <c r="D234" s="248" t="s">
        <v>512</v>
      </c>
      <c r="E234" s="248">
        <v>2207.0</v>
      </c>
      <c r="F234" s="256">
        <v>45597.0</v>
      </c>
      <c r="G234" s="248">
        <v>2024.0</v>
      </c>
      <c r="H234" s="248" t="s">
        <v>513</v>
      </c>
      <c r="I234" s="248" t="s">
        <v>514</v>
      </c>
      <c r="J234" s="248" t="s">
        <v>297</v>
      </c>
      <c r="K234" s="249" t="s">
        <v>66</v>
      </c>
      <c r="L234" s="257" t="s">
        <v>523</v>
      </c>
      <c r="M234" s="249"/>
      <c r="N234" s="249"/>
      <c r="O234" s="249"/>
      <c r="P234" s="249"/>
      <c r="Q234" s="249"/>
      <c r="R234" s="249"/>
      <c r="S234" s="249"/>
      <c r="T234" s="249"/>
      <c r="U234" s="249"/>
      <c r="V234" s="249"/>
    </row>
    <row r="235">
      <c r="A235" s="255" t="s">
        <v>972</v>
      </c>
      <c r="B235" s="248" t="s">
        <v>530</v>
      </c>
      <c r="C235" s="248" t="s">
        <v>531</v>
      </c>
      <c r="D235" s="248" t="s">
        <v>512</v>
      </c>
      <c r="E235" s="248">
        <v>44600.0</v>
      </c>
      <c r="F235" s="256">
        <v>45597.0</v>
      </c>
      <c r="G235" s="248">
        <v>2024.0</v>
      </c>
      <c r="H235" s="248" t="s">
        <v>513</v>
      </c>
      <c r="I235" s="248" t="s">
        <v>521</v>
      </c>
      <c r="J235" s="248" t="s">
        <v>297</v>
      </c>
      <c r="K235" s="249" t="s">
        <v>66</v>
      </c>
      <c r="L235" s="257" t="s">
        <v>523</v>
      </c>
      <c r="M235" s="249"/>
      <c r="N235" s="249"/>
      <c r="O235" s="249"/>
      <c r="P235" s="249"/>
      <c r="Q235" s="249"/>
      <c r="R235" s="249"/>
      <c r="S235" s="249"/>
      <c r="T235" s="249"/>
      <c r="U235" s="249"/>
      <c r="V235" s="249"/>
    </row>
    <row r="236">
      <c r="A236" s="255" t="s">
        <v>973</v>
      </c>
      <c r="B236" s="248" t="s">
        <v>810</v>
      </c>
      <c r="C236" s="248" t="s">
        <v>655</v>
      </c>
      <c r="D236" s="248" t="s">
        <v>512</v>
      </c>
      <c r="E236" s="248">
        <v>2876.0</v>
      </c>
      <c r="F236" s="256">
        <v>45597.0</v>
      </c>
      <c r="G236" s="248">
        <v>2024.0</v>
      </c>
      <c r="H236" s="248" t="s">
        <v>546</v>
      </c>
      <c r="I236" s="248" t="s">
        <v>521</v>
      </c>
      <c r="J236" s="248" t="s">
        <v>297</v>
      </c>
      <c r="K236" s="249" t="s">
        <v>66</v>
      </c>
      <c r="L236" s="257" t="s">
        <v>523</v>
      </c>
      <c r="M236" s="249"/>
      <c r="N236" s="249"/>
      <c r="O236" s="249"/>
      <c r="P236" s="249"/>
      <c r="Q236" s="249"/>
      <c r="R236" s="249"/>
      <c r="S236" s="249"/>
      <c r="T236" s="249"/>
      <c r="U236" s="249"/>
      <c r="V236" s="249"/>
    </row>
    <row r="237">
      <c r="A237" s="255" t="s">
        <v>974</v>
      </c>
      <c r="B237" s="248" t="s">
        <v>586</v>
      </c>
      <c r="C237" s="248" t="s">
        <v>587</v>
      </c>
      <c r="D237" s="248" t="s">
        <v>512</v>
      </c>
      <c r="E237" s="248">
        <v>147253.0</v>
      </c>
      <c r="F237" s="287">
        <v>45595.0</v>
      </c>
      <c r="G237" s="248">
        <v>2024.0</v>
      </c>
      <c r="H237" s="248" t="s">
        <v>513</v>
      </c>
      <c r="I237" s="248" t="s">
        <v>514</v>
      </c>
      <c r="J237" s="248" t="s">
        <v>297</v>
      </c>
      <c r="K237" s="249" t="s">
        <v>66</v>
      </c>
      <c r="L237" s="257" t="s">
        <v>523</v>
      </c>
      <c r="M237" s="249"/>
      <c r="N237" s="249"/>
      <c r="O237" s="249"/>
      <c r="P237" s="249"/>
      <c r="Q237" s="249"/>
      <c r="R237" s="249"/>
      <c r="S237" s="249"/>
      <c r="T237" s="249"/>
      <c r="U237" s="249"/>
      <c r="V237" s="249"/>
    </row>
    <row r="238">
      <c r="A238" s="255" t="s">
        <v>975</v>
      </c>
      <c r="B238" s="248" t="s">
        <v>810</v>
      </c>
      <c r="C238" s="248" t="s">
        <v>655</v>
      </c>
      <c r="D238" s="248" t="s">
        <v>512</v>
      </c>
      <c r="E238" s="248">
        <v>2100.0</v>
      </c>
      <c r="F238" s="287">
        <v>45594.0</v>
      </c>
      <c r="G238" s="248">
        <v>2024.0</v>
      </c>
      <c r="H238" s="248" t="s">
        <v>513</v>
      </c>
      <c r="I238" s="248" t="s">
        <v>514</v>
      </c>
      <c r="J238" s="248" t="s">
        <v>297</v>
      </c>
      <c r="K238" s="249" t="s">
        <v>66</v>
      </c>
      <c r="L238" s="257" t="s">
        <v>523</v>
      </c>
      <c r="M238" s="249"/>
      <c r="N238" s="249"/>
      <c r="O238" s="249"/>
      <c r="P238" s="249"/>
      <c r="Q238" s="249"/>
      <c r="R238" s="249"/>
      <c r="S238" s="249"/>
      <c r="T238" s="249"/>
      <c r="U238" s="249"/>
      <c r="V238" s="249"/>
    </row>
    <row r="239">
      <c r="A239" s="255" t="s">
        <v>976</v>
      </c>
      <c r="B239" s="248" t="s">
        <v>586</v>
      </c>
      <c r="C239" s="248" t="s">
        <v>587</v>
      </c>
      <c r="D239" s="248" t="s">
        <v>512</v>
      </c>
      <c r="E239" s="248">
        <v>1187.0</v>
      </c>
      <c r="F239" s="287">
        <v>45593.0</v>
      </c>
      <c r="G239" s="248">
        <v>2024.0</v>
      </c>
      <c r="H239" s="248" t="s">
        <v>513</v>
      </c>
      <c r="I239" s="248" t="s">
        <v>521</v>
      </c>
      <c r="J239" s="248" t="s">
        <v>297</v>
      </c>
      <c r="K239" s="249" t="s">
        <v>66</v>
      </c>
      <c r="L239" s="257" t="s">
        <v>523</v>
      </c>
      <c r="M239" s="249"/>
      <c r="N239" s="249"/>
      <c r="O239" s="249"/>
      <c r="P239" s="249"/>
      <c r="Q239" s="249"/>
      <c r="R239" s="249"/>
      <c r="S239" s="249"/>
      <c r="T239" s="249"/>
      <c r="U239" s="249"/>
      <c r="V239" s="249"/>
    </row>
    <row r="240">
      <c r="A240" s="255" t="s">
        <v>977</v>
      </c>
      <c r="B240" s="248" t="s">
        <v>578</v>
      </c>
      <c r="C240" s="248" t="s">
        <v>579</v>
      </c>
      <c r="D240" s="248" t="s">
        <v>512</v>
      </c>
      <c r="E240" s="248">
        <v>4083.0</v>
      </c>
      <c r="F240" s="287">
        <v>45593.0</v>
      </c>
      <c r="G240" s="248">
        <v>2024.0</v>
      </c>
      <c r="H240" s="248" t="s">
        <v>513</v>
      </c>
      <c r="I240" s="248" t="s">
        <v>514</v>
      </c>
      <c r="J240" s="248" t="s">
        <v>297</v>
      </c>
      <c r="K240" s="249" t="s">
        <v>66</v>
      </c>
      <c r="L240" s="257" t="s">
        <v>523</v>
      </c>
      <c r="M240" s="249"/>
      <c r="N240" s="249"/>
      <c r="O240" s="249"/>
      <c r="P240" s="249"/>
      <c r="Q240" s="249"/>
      <c r="R240" s="249"/>
      <c r="S240" s="249"/>
      <c r="T240" s="249"/>
      <c r="U240" s="249"/>
      <c r="V240" s="249"/>
    </row>
    <row r="241">
      <c r="A241" s="255" t="s">
        <v>978</v>
      </c>
      <c r="B241" s="248" t="s">
        <v>590</v>
      </c>
      <c r="C241" s="248" t="s">
        <v>591</v>
      </c>
      <c r="D241" s="248" t="s">
        <v>520</v>
      </c>
      <c r="E241" s="248">
        <v>85133.0</v>
      </c>
      <c r="F241" s="287">
        <v>45593.0</v>
      </c>
      <c r="G241" s="248">
        <v>2024.0</v>
      </c>
      <c r="H241" s="248" t="s">
        <v>513</v>
      </c>
      <c r="I241" s="248" t="s">
        <v>514</v>
      </c>
      <c r="J241" s="248" t="s">
        <v>297</v>
      </c>
      <c r="K241" s="249" t="s">
        <v>66</v>
      </c>
      <c r="L241" s="257" t="s">
        <v>523</v>
      </c>
      <c r="M241" s="249"/>
      <c r="N241" s="249"/>
      <c r="O241" s="249"/>
      <c r="P241" s="249"/>
      <c r="Q241" s="249"/>
      <c r="R241" s="249"/>
      <c r="S241" s="249"/>
      <c r="T241" s="249"/>
      <c r="U241" s="249"/>
      <c r="V241" s="249"/>
    </row>
    <row r="242">
      <c r="A242" s="255" t="s">
        <v>979</v>
      </c>
      <c r="B242" s="248" t="s">
        <v>980</v>
      </c>
      <c r="C242" s="248" t="s">
        <v>701</v>
      </c>
      <c r="D242" s="248" t="s">
        <v>512</v>
      </c>
      <c r="E242" s="248">
        <v>23205.0</v>
      </c>
      <c r="F242" s="287">
        <v>45590.0</v>
      </c>
      <c r="G242" s="248">
        <v>2024.0</v>
      </c>
      <c r="H242" s="248" t="s">
        <v>513</v>
      </c>
      <c r="I242" s="248" t="s">
        <v>514</v>
      </c>
      <c r="J242" s="248" t="s">
        <v>297</v>
      </c>
      <c r="K242" s="249" t="s">
        <v>66</v>
      </c>
      <c r="L242" s="257" t="s">
        <v>523</v>
      </c>
      <c r="M242" s="249"/>
      <c r="N242" s="249"/>
      <c r="O242" s="249"/>
      <c r="P242" s="249"/>
      <c r="Q242" s="249"/>
      <c r="R242" s="249"/>
      <c r="S242" s="249"/>
      <c r="T242" s="249"/>
      <c r="U242" s="249"/>
      <c r="V242" s="249"/>
    </row>
    <row r="243">
      <c r="A243" s="255" t="s">
        <v>981</v>
      </c>
      <c r="B243" s="248" t="s">
        <v>538</v>
      </c>
      <c r="C243" s="248" t="s">
        <v>539</v>
      </c>
      <c r="D243" s="248" t="s">
        <v>512</v>
      </c>
      <c r="E243" s="248">
        <v>8394.0</v>
      </c>
      <c r="F243" s="287">
        <v>45590.0</v>
      </c>
      <c r="G243" s="248">
        <v>2024.0</v>
      </c>
      <c r="H243" s="248" t="s">
        <v>513</v>
      </c>
      <c r="I243" s="248" t="s">
        <v>514</v>
      </c>
      <c r="J243" s="248" t="s">
        <v>297</v>
      </c>
      <c r="K243" s="249" t="s">
        <v>66</v>
      </c>
      <c r="L243" s="257" t="s">
        <v>523</v>
      </c>
      <c r="M243" s="249"/>
      <c r="N243" s="249"/>
      <c r="O243" s="249"/>
      <c r="P243" s="249"/>
      <c r="Q243" s="249"/>
      <c r="R243" s="249"/>
      <c r="S243" s="249"/>
      <c r="T243" s="249"/>
      <c r="U243" s="249"/>
      <c r="V243" s="249"/>
    </row>
    <row r="244">
      <c r="A244" s="255" t="s">
        <v>982</v>
      </c>
      <c r="B244" s="248" t="s">
        <v>578</v>
      </c>
      <c r="C244" s="248" t="s">
        <v>579</v>
      </c>
      <c r="D244" s="248" t="s">
        <v>512</v>
      </c>
      <c r="E244" s="248">
        <v>1062.0</v>
      </c>
      <c r="F244" s="287">
        <v>45590.0</v>
      </c>
      <c r="G244" s="248">
        <v>2024.0</v>
      </c>
      <c r="H244" s="248" t="s">
        <v>546</v>
      </c>
      <c r="I244" s="248" t="s">
        <v>514</v>
      </c>
      <c r="J244" s="248" t="s">
        <v>297</v>
      </c>
      <c r="K244" s="249" t="s">
        <v>66</v>
      </c>
      <c r="L244" s="257" t="s">
        <v>523</v>
      </c>
      <c r="M244" s="249"/>
      <c r="N244" s="249"/>
      <c r="O244" s="249"/>
      <c r="P244" s="249"/>
      <c r="Q244" s="249"/>
      <c r="R244" s="249"/>
      <c r="S244" s="249"/>
      <c r="T244" s="249"/>
      <c r="U244" s="249"/>
      <c r="V244" s="249"/>
    </row>
    <row r="245">
      <c r="A245" s="255" t="s">
        <v>983</v>
      </c>
      <c r="B245" s="248" t="s">
        <v>727</v>
      </c>
      <c r="C245" s="248" t="s">
        <v>658</v>
      </c>
      <c r="D245" s="248" t="s">
        <v>512</v>
      </c>
      <c r="E245" s="248">
        <v>23385.0</v>
      </c>
      <c r="F245" s="287">
        <v>45590.0</v>
      </c>
      <c r="G245" s="248">
        <v>2024.0</v>
      </c>
      <c r="H245" s="248" t="s">
        <v>513</v>
      </c>
      <c r="I245" s="248" t="s">
        <v>514</v>
      </c>
      <c r="J245" s="248" t="s">
        <v>297</v>
      </c>
      <c r="K245" s="249" t="s">
        <v>66</v>
      </c>
      <c r="L245" s="257" t="s">
        <v>523</v>
      </c>
      <c r="M245" s="249"/>
      <c r="N245" s="249"/>
      <c r="O245" s="249"/>
      <c r="P245" s="249"/>
      <c r="Q245" s="249"/>
      <c r="R245" s="249"/>
      <c r="S245" s="249"/>
      <c r="T245" s="249"/>
      <c r="U245" s="249"/>
      <c r="V245" s="249"/>
    </row>
    <row r="246">
      <c r="A246" s="255" t="s">
        <v>984</v>
      </c>
      <c r="B246" s="248" t="s">
        <v>538</v>
      </c>
      <c r="C246" s="248" t="s">
        <v>539</v>
      </c>
      <c r="D246" s="248" t="s">
        <v>512</v>
      </c>
      <c r="E246" s="248">
        <v>1562.0</v>
      </c>
      <c r="F246" s="287">
        <v>45590.0</v>
      </c>
      <c r="G246" s="248">
        <v>2024.0</v>
      </c>
      <c r="H246" s="248" t="s">
        <v>513</v>
      </c>
      <c r="I246" s="248" t="s">
        <v>514</v>
      </c>
      <c r="J246" s="248" t="s">
        <v>297</v>
      </c>
      <c r="K246" s="249" t="s">
        <v>66</v>
      </c>
      <c r="L246" s="257" t="s">
        <v>523</v>
      </c>
      <c r="M246" s="249"/>
      <c r="N246" s="249"/>
      <c r="O246" s="249"/>
      <c r="P246" s="249"/>
      <c r="Q246" s="249"/>
      <c r="R246" s="249"/>
      <c r="S246" s="249"/>
      <c r="T246" s="249"/>
      <c r="U246" s="249"/>
      <c r="V246" s="249"/>
    </row>
    <row r="247">
      <c r="A247" s="255" t="s">
        <v>985</v>
      </c>
      <c r="B247" s="248" t="s">
        <v>75</v>
      </c>
      <c r="C247" s="248" t="s">
        <v>675</v>
      </c>
      <c r="D247" s="248" t="s">
        <v>512</v>
      </c>
      <c r="E247" s="248">
        <v>27000.0</v>
      </c>
      <c r="F247" s="287">
        <v>45589.0</v>
      </c>
      <c r="G247" s="248">
        <v>2024.0</v>
      </c>
      <c r="H247" s="248" t="s">
        <v>513</v>
      </c>
      <c r="I247" s="248" t="s">
        <v>986</v>
      </c>
      <c r="J247" s="248" t="s">
        <v>297</v>
      </c>
      <c r="K247" s="249" t="s">
        <v>66</v>
      </c>
      <c r="L247" s="257" t="s">
        <v>523</v>
      </c>
      <c r="M247" s="249"/>
      <c r="N247" s="249"/>
      <c r="O247" s="249"/>
      <c r="P247" s="249"/>
      <c r="Q247" s="249"/>
      <c r="R247" s="249"/>
      <c r="S247" s="249"/>
      <c r="T247" s="249"/>
      <c r="U247" s="249"/>
      <c r="V247" s="249"/>
    </row>
    <row r="248">
      <c r="A248" s="255" t="s">
        <v>987</v>
      </c>
      <c r="B248" s="248" t="s">
        <v>590</v>
      </c>
      <c r="C248" s="248" t="s">
        <v>591</v>
      </c>
      <c r="D248" s="248" t="s">
        <v>512</v>
      </c>
      <c r="E248" s="248">
        <v>20024.0</v>
      </c>
      <c r="F248" s="287">
        <v>45589.0</v>
      </c>
      <c r="G248" s="248">
        <v>2024.0</v>
      </c>
      <c r="H248" s="248" t="s">
        <v>513</v>
      </c>
      <c r="I248" s="248" t="s">
        <v>514</v>
      </c>
      <c r="J248" s="248" t="s">
        <v>297</v>
      </c>
      <c r="K248" s="249" t="s">
        <v>66</v>
      </c>
      <c r="L248" s="257" t="s">
        <v>523</v>
      </c>
      <c r="M248" s="249"/>
      <c r="N248" s="249"/>
      <c r="O248" s="249"/>
      <c r="P248" s="249"/>
      <c r="Q248" s="249"/>
      <c r="R248" s="249"/>
      <c r="S248" s="249"/>
      <c r="T248" s="249"/>
      <c r="U248" s="249"/>
      <c r="V248" s="249"/>
    </row>
    <row r="249">
      <c r="A249" s="255" t="s">
        <v>988</v>
      </c>
      <c r="B249" s="248" t="s">
        <v>578</v>
      </c>
      <c r="C249" s="248" t="s">
        <v>579</v>
      </c>
      <c r="D249" s="248" t="s">
        <v>512</v>
      </c>
      <c r="E249" s="248">
        <v>6300.0</v>
      </c>
      <c r="F249" s="287">
        <v>45589.0</v>
      </c>
      <c r="G249" s="248">
        <v>2024.0</v>
      </c>
      <c r="H249" s="248" t="s">
        <v>513</v>
      </c>
      <c r="I249" s="248" t="s">
        <v>514</v>
      </c>
      <c r="J249" s="248" t="s">
        <v>297</v>
      </c>
      <c r="K249" s="249" t="s">
        <v>66</v>
      </c>
      <c r="L249" s="257" t="s">
        <v>523</v>
      </c>
      <c r="M249" s="249"/>
      <c r="N249" s="249"/>
      <c r="O249" s="249"/>
      <c r="P249" s="249"/>
      <c r="Q249" s="249"/>
      <c r="R249" s="249"/>
      <c r="S249" s="249"/>
      <c r="T249" s="249"/>
      <c r="U249" s="249"/>
      <c r="V249" s="249"/>
    </row>
    <row r="250">
      <c r="A250" s="255" t="s">
        <v>989</v>
      </c>
      <c r="B250" s="248" t="s">
        <v>542</v>
      </c>
      <c r="C250" s="248" t="s">
        <v>543</v>
      </c>
      <c r="D250" s="248" t="s">
        <v>512</v>
      </c>
      <c r="E250" s="248">
        <v>2247.0</v>
      </c>
      <c r="F250" s="287">
        <v>45589.0</v>
      </c>
      <c r="G250" s="248">
        <v>2024.0</v>
      </c>
      <c r="H250" s="248" t="s">
        <v>513</v>
      </c>
      <c r="I250" s="248" t="s">
        <v>514</v>
      </c>
      <c r="J250" s="248" t="s">
        <v>297</v>
      </c>
      <c r="K250" s="249" t="s">
        <v>66</v>
      </c>
      <c r="L250" s="257" t="s">
        <v>523</v>
      </c>
      <c r="M250" s="249"/>
      <c r="N250" s="249"/>
      <c r="O250" s="249"/>
      <c r="P250" s="249"/>
      <c r="Q250" s="249"/>
      <c r="R250" s="249"/>
      <c r="S250" s="249"/>
      <c r="T250" s="249"/>
      <c r="U250" s="249"/>
      <c r="V250" s="249"/>
    </row>
    <row r="251">
      <c r="A251" s="255" t="s">
        <v>990</v>
      </c>
      <c r="B251" s="248" t="s">
        <v>590</v>
      </c>
      <c r="C251" s="248" t="s">
        <v>591</v>
      </c>
      <c r="D251" s="248" t="s">
        <v>520</v>
      </c>
      <c r="E251" s="248">
        <v>2402.0</v>
      </c>
      <c r="F251" s="287">
        <v>45587.0</v>
      </c>
      <c r="G251" s="248">
        <v>2024.0</v>
      </c>
      <c r="H251" s="248" t="s">
        <v>513</v>
      </c>
      <c r="I251" s="248" t="s">
        <v>514</v>
      </c>
      <c r="J251" s="248" t="s">
        <v>309</v>
      </c>
      <c r="K251" s="249" t="s">
        <v>66</v>
      </c>
      <c r="L251" s="257" t="s">
        <v>523</v>
      </c>
      <c r="M251" s="249"/>
      <c r="N251" s="249"/>
      <c r="O251" s="249"/>
      <c r="P251" s="249"/>
      <c r="Q251" s="249"/>
      <c r="R251" s="249"/>
      <c r="S251" s="249"/>
      <c r="T251" s="249"/>
      <c r="U251" s="249"/>
      <c r="V251" s="249"/>
    </row>
    <row r="252">
      <c r="A252" s="255" t="s">
        <v>991</v>
      </c>
      <c r="B252" s="248" t="s">
        <v>748</v>
      </c>
      <c r="C252" s="248" t="s">
        <v>694</v>
      </c>
      <c r="D252" s="248" t="s">
        <v>512</v>
      </c>
      <c r="E252" s="248">
        <v>1800.0</v>
      </c>
      <c r="F252" s="287">
        <v>45586.0</v>
      </c>
      <c r="G252" s="248">
        <v>2024.0</v>
      </c>
      <c r="H252" s="248" t="s">
        <v>546</v>
      </c>
      <c r="I252" s="248" t="s">
        <v>992</v>
      </c>
      <c r="J252" s="248" t="s">
        <v>297</v>
      </c>
      <c r="K252" s="249" t="s">
        <v>66</v>
      </c>
      <c r="L252" s="257" t="s">
        <v>523</v>
      </c>
      <c r="M252" s="249"/>
      <c r="N252" s="249"/>
      <c r="O252" s="249"/>
      <c r="P252" s="249"/>
      <c r="Q252" s="249"/>
      <c r="R252" s="249"/>
      <c r="S252" s="249"/>
      <c r="T252" s="249"/>
      <c r="U252" s="249"/>
      <c r="V252" s="249"/>
    </row>
    <row r="253">
      <c r="A253" s="255" t="s">
        <v>993</v>
      </c>
      <c r="B253" s="248" t="s">
        <v>878</v>
      </c>
      <c r="C253" s="248" t="s">
        <v>643</v>
      </c>
      <c r="D253" s="248" t="s">
        <v>512</v>
      </c>
      <c r="E253" s="248">
        <v>53916.0</v>
      </c>
      <c r="F253" s="287">
        <v>45583.0</v>
      </c>
      <c r="G253" s="248">
        <v>2024.0</v>
      </c>
      <c r="H253" s="248" t="s">
        <v>513</v>
      </c>
      <c r="I253" s="248" t="s">
        <v>514</v>
      </c>
      <c r="J253" s="248" t="s">
        <v>297</v>
      </c>
      <c r="K253" s="249" t="s">
        <v>66</v>
      </c>
      <c r="L253" s="257" t="s">
        <v>523</v>
      </c>
      <c r="M253" s="249"/>
      <c r="N253" s="249"/>
      <c r="O253" s="249"/>
      <c r="P253" s="249"/>
      <c r="Q253" s="249"/>
      <c r="R253" s="249"/>
      <c r="S253" s="249"/>
      <c r="T253" s="249"/>
      <c r="U253" s="249"/>
      <c r="V253" s="249"/>
    </row>
    <row r="254">
      <c r="A254" s="255" t="s">
        <v>994</v>
      </c>
      <c r="B254" s="248" t="s">
        <v>573</v>
      </c>
      <c r="C254" s="248" t="s">
        <v>574</v>
      </c>
      <c r="D254" s="248" t="s">
        <v>512</v>
      </c>
      <c r="E254" s="248">
        <v>56000.0</v>
      </c>
      <c r="F254" s="287">
        <v>45583.0</v>
      </c>
      <c r="G254" s="248">
        <v>2024.0</v>
      </c>
      <c r="H254" s="248" t="s">
        <v>513</v>
      </c>
      <c r="I254" s="248" t="s">
        <v>514</v>
      </c>
      <c r="J254" s="248" t="s">
        <v>297</v>
      </c>
      <c r="K254" s="249" t="s">
        <v>66</v>
      </c>
      <c r="L254" s="257" t="s">
        <v>523</v>
      </c>
      <c r="M254" s="249"/>
      <c r="N254" s="249"/>
      <c r="O254" s="249"/>
      <c r="P254" s="249"/>
      <c r="Q254" s="249"/>
      <c r="R254" s="249"/>
      <c r="S254" s="249"/>
      <c r="T254" s="249"/>
      <c r="U254" s="249"/>
      <c r="V254" s="249"/>
    </row>
    <row r="255">
      <c r="A255" s="255" t="s">
        <v>995</v>
      </c>
      <c r="B255" s="248" t="s">
        <v>518</v>
      </c>
      <c r="C255" s="248" t="s">
        <v>519</v>
      </c>
      <c r="D255" s="248" t="s">
        <v>512</v>
      </c>
      <c r="E255" s="248">
        <v>10989.0</v>
      </c>
      <c r="F255" s="287">
        <v>45583.0</v>
      </c>
      <c r="G255" s="248">
        <v>2024.0</v>
      </c>
      <c r="H255" s="248" t="s">
        <v>513</v>
      </c>
      <c r="I255" s="248" t="s">
        <v>521</v>
      </c>
      <c r="J255" s="248" t="s">
        <v>297</v>
      </c>
      <c r="K255" s="249" t="s">
        <v>66</v>
      </c>
      <c r="L255" s="257" t="s">
        <v>523</v>
      </c>
      <c r="M255" s="249"/>
      <c r="N255" s="249"/>
      <c r="O255" s="249"/>
      <c r="P255" s="249"/>
      <c r="Q255" s="249"/>
      <c r="R255" s="249"/>
      <c r="S255" s="249"/>
      <c r="T255" s="249"/>
      <c r="U255" s="249"/>
      <c r="V255" s="249"/>
    </row>
    <row r="256">
      <c r="A256" s="255" t="s">
        <v>996</v>
      </c>
      <c r="B256" s="248" t="s">
        <v>924</v>
      </c>
      <c r="C256" s="248" t="s">
        <v>725</v>
      </c>
      <c r="D256" s="248" t="s">
        <v>512</v>
      </c>
      <c r="E256" s="248">
        <v>3347.0</v>
      </c>
      <c r="F256" s="287">
        <v>45583.0</v>
      </c>
      <c r="G256" s="248">
        <v>2024.0</v>
      </c>
      <c r="H256" s="248" t="s">
        <v>513</v>
      </c>
      <c r="I256" s="248" t="s">
        <v>620</v>
      </c>
      <c r="J256" s="248" t="s">
        <v>297</v>
      </c>
      <c r="K256" s="249" t="s">
        <v>66</v>
      </c>
      <c r="L256" s="257" t="s">
        <v>523</v>
      </c>
      <c r="M256" s="249"/>
      <c r="N256" s="249"/>
      <c r="O256" s="249"/>
      <c r="P256" s="249"/>
      <c r="Q256" s="249"/>
      <c r="R256" s="249"/>
      <c r="S256" s="249"/>
      <c r="T256" s="249"/>
      <c r="U256" s="249"/>
      <c r="V256" s="249"/>
    </row>
    <row r="257">
      <c r="A257" s="255" t="s">
        <v>997</v>
      </c>
      <c r="B257" s="248" t="s">
        <v>586</v>
      </c>
      <c r="C257" s="248" t="s">
        <v>587</v>
      </c>
      <c r="D257" s="248" t="s">
        <v>520</v>
      </c>
      <c r="E257" s="248">
        <v>115837.0</v>
      </c>
      <c r="F257" s="287">
        <v>45583.0</v>
      </c>
      <c r="G257" s="248">
        <v>2024.0</v>
      </c>
      <c r="H257" s="248" t="s">
        <v>513</v>
      </c>
      <c r="I257" s="248" t="s">
        <v>998</v>
      </c>
      <c r="J257" s="248" t="s">
        <v>309</v>
      </c>
      <c r="K257" s="249" t="s">
        <v>66</v>
      </c>
      <c r="L257" s="257" t="s">
        <v>523</v>
      </c>
      <c r="M257" s="249"/>
      <c r="N257" s="249"/>
      <c r="O257" s="249"/>
      <c r="P257" s="249"/>
      <c r="Q257" s="249"/>
      <c r="R257" s="249"/>
      <c r="S257" s="249"/>
      <c r="T257" s="249"/>
      <c r="U257" s="249"/>
      <c r="V257" s="249"/>
    </row>
    <row r="258">
      <c r="A258" s="255" t="s">
        <v>999</v>
      </c>
      <c r="B258" s="248" t="s">
        <v>727</v>
      </c>
      <c r="C258" s="248" t="s">
        <v>658</v>
      </c>
      <c r="D258" s="248" t="s">
        <v>512</v>
      </c>
      <c r="E258" s="248">
        <v>1813538.0</v>
      </c>
      <c r="F258" s="287">
        <v>45583.0</v>
      </c>
      <c r="G258" s="248">
        <v>2024.0</v>
      </c>
      <c r="H258" s="248" t="s">
        <v>513</v>
      </c>
      <c r="I258" s="248" t="s">
        <v>514</v>
      </c>
      <c r="J258" s="248" t="s">
        <v>297</v>
      </c>
      <c r="K258" s="249" t="s">
        <v>66</v>
      </c>
      <c r="L258" s="257" t="s">
        <v>523</v>
      </c>
      <c r="M258" s="249"/>
      <c r="N258" s="249"/>
      <c r="O258" s="249"/>
      <c r="P258" s="249"/>
      <c r="Q258" s="249"/>
      <c r="R258" s="249"/>
      <c r="S258" s="249"/>
      <c r="T258" s="249"/>
      <c r="U258" s="249"/>
      <c r="V258" s="249"/>
    </row>
    <row r="259">
      <c r="A259" s="255" t="s">
        <v>1000</v>
      </c>
      <c r="B259" s="248" t="s">
        <v>586</v>
      </c>
      <c r="C259" s="248" t="s">
        <v>587</v>
      </c>
      <c r="D259" s="248" t="s">
        <v>512</v>
      </c>
      <c r="E259" s="248">
        <v>2743.0</v>
      </c>
      <c r="F259" s="287">
        <v>45583.0</v>
      </c>
      <c r="G259" s="248">
        <v>2024.0</v>
      </c>
      <c r="H259" s="248" t="s">
        <v>513</v>
      </c>
      <c r="I259" s="248" t="s">
        <v>521</v>
      </c>
      <c r="J259" s="248" t="s">
        <v>297</v>
      </c>
      <c r="K259" s="249" t="s">
        <v>66</v>
      </c>
      <c r="L259" s="257" t="s">
        <v>523</v>
      </c>
      <c r="M259" s="249"/>
      <c r="N259" s="249"/>
      <c r="O259" s="249"/>
      <c r="P259" s="249"/>
      <c r="Q259" s="249"/>
      <c r="R259" s="249"/>
      <c r="S259" s="249"/>
      <c r="T259" s="249"/>
      <c r="U259" s="249"/>
      <c r="V259" s="249"/>
    </row>
    <row r="260">
      <c r="A260" s="255" t="s">
        <v>1001</v>
      </c>
      <c r="B260" s="248" t="s">
        <v>748</v>
      </c>
      <c r="C260" s="248" t="s">
        <v>694</v>
      </c>
      <c r="D260" s="248" t="s">
        <v>512</v>
      </c>
      <c r="E260" s="248">
        <v>14589.0</v>
      </c>
      <c r="F260" s="287">
        <v>45582.0</v>
      </c>
      <c r="G260" s="248">
        <v>2024.0</v>
      </c>
      <c r="H260" s="248" t="s">
        <v>513</v>
      </c>
      <c r="I260" s="248" t="s">
        <v>514</v>
      </c>
      <c r="J260" s="248" t="s">
        <v>297</v>
      </c>
      <c r="K260" s="249" t="s">
        <v>66</v>
      </c>
      <c r="L260" s="257" t="s">
        <v>523</v>
      </c>
      <c r="M260" s="249"/>
      <c r="N260" s="249"/>
      <c r="O260" s="249"/>
      <c r="P260" s="249"/>
      <c r="Q260" s="249"/>
      <c r="R260" s="249"/>
      <c r="S260" s="249"/>
      <c r="T260" s="249"/>
      <c r="U260" s="249"/>
      <c r="V260" s="249"/>
    </row>
    <row r="261">
      <c r="A261" s="255" t="s">
        <v>1002</v>
      </c>
      <c r="B261" s="248" t="s">
        <v>748</v>
      </c>
      <c r="C261" s="248" t="s">
        <v>694</v>
      </c>
      <c r="D261" s="248" t="s">
        <v>512</v>
      </c>
      <c r="E261" s="248">
        <v>2224.0</v>
      </c>
      <c r="F261" s="287">
        <v>45582.0</v>
      </c>
      <c r="G261" s="248">
        <v>2024.0</v>
      </c>
      <c r="H261" s="248" t="s">
        <v>546</v>
      </c>
      <c r="I261" s="248" t="s">
        <v>521</v>
      </c>
      <c r="J261" s="248" t="s">
        <v>297</v>
      </c>
      <c r="K261" s="249" t="s">
        <v>66</v>
      </c>
      <c r="L261" s="257" t="s">
        <v>523</v>
      </c>
      <c r="M261" s="249"/>
      <c r="N261" s="249"/>
      <c r="O261" s="249"/>
      <c r="P261" s="249"/>
      <c r="Q261" s="249"/>
      <c r="R261" s="249"/>
      <c r="S261" s="249"/>
      <c r="T261" s="249"/>
      <c r="U261" s="249"/>
      <c r="V261" s="249"/>
    </row>
    <row r="262">
      <c r="A262" s="255" t="s">
        <v>1003</v>
      </c>
      <c r="B262" s="248" t="s">
        <v>586</v>
      </c>
      <c r="C262" s="248" t="s">
        <v>587</v>
      </c>
      <c r="D262" s="248" t="s">
        <v>512</v>
      </c>
      <c r="E262" s="248">
        <v>4845.0</v>
      </c>
      <c r="F262" s="287">
        <v>45581.0</v>
      </c>
      <c r="G262" s="248">
        <v>2024.0</v>
      </c>
      <c r="H262" s="248" t="s">
        <v>513</v>
      </c>
      <c r="I262" s="248" t="s">
        <v>521</v>
      </c>
      <c r="J262" s="248" t="s">
        <v>297</v>
      </c>
      <c r="K262" s="249" t="s">
        <v>66</v>
      </c>
      <c r="L262" s="257" t="s">
        <v>523</v>
      </c>
      <c r="M262" s="249"/>
      <c r="N262" s="249"/>
      <c r="O262" s="249"/>
      <c r="P262" s="249"/>
      <c r="Q262" s="249"/>
      <c r="R262" s="249"/>
      <c r="S262" s="249"/>
      <c r="T262" s="249"/>
      <c r="U262" s="249"/>
      <c r="V262" s="249"/>
    </row>
    <row r="263">
      <c r="A263" s="255" t="s">
        <v>1004</v>
      </c>
      <c r="B263" s="248" t="s">
        <v>553</v>
      </c>
      <c r="C263" s="248" t="s">
        <v>554</v>
      </c>
      <c r="D263" s="248" t="s">
        <v>512</v>
      </c>
      <c r="E263" s="248">
        <v>8000.0</v>
      </c>
      <c r="F263" s="287">
        <v>45581.0</v>
      </c>
      <c r="G263" s="248">
        <v>2024.0</v>
      </c>
      <c r="H263" s="248" t="s">
        <v>559</v>
      </c>
      <c r="I263" s="248" t="s">
        <v>547</v>
      </c>
      <c r="J263" s="248" t="s">
        <v>297</v>
      </c>
      <c r="K263" s="249" t="s">
        <v>66</v>
      </c>
      <c r="L263" s="257" t="s">
        <v>523</v>
      </c>
      <c r="M263" s="249"/>
      <c r="N263" s="249"/>
      <c r="O263" s="249"/>
      <c r="P263" s="249"/>
      <c r="Q263" s="249"/>
      <c r="R263" s="249"/>
      <c r="S263" s="249"/>
      <c r="T263" s="249"/>
      <c r="U263" s="249"/>
      <c r="V263" s="249"/>
    </row>
    <row r="264">
      <c r="A264" s="255" t="s">
        <v>1005</v>
      </c>
      <c r="B264" s="248" t="s">
        <v>518</v>
      </c>
      <c r="C264" s="248" t="s">
        <v>519</v>
      </c>
      <c r="D264" s="248" t="s">
        <v>512</v>
      </c>
      <c r="E264" s="248">
        <v>795916.0</v>
      </c>
      <c r="F264" s="287">
        <v>45579.0</v>
      </c>
      <c r="G264" s="248">
        <v>2024.0</v>
      </c>
      <c r="H264" s="248" t="s">
        <v>513</v>
      </c>
      <c r="I264" s="248" t="s">
        <v>514</v>
      </c>
      <c r="J264" s="248" t="s">
        <v>297</v>
      </c>
      <c r="K264" s="249" t="s">
        <v>66</v>
      </c>
      <c r="L264" s="257" t="s">
        <v>523</v>
      </c>
      <c r="M264" s="249"/>
      <c r="N264" s="249"/>
      <c r="O264" s="249"/>
      <c r="P264" s="249"/>
      <c r="Q264" s="249"/>
      <c r="R264" s="249"/>
      <c r="S264" s="249"/>
      <c r="T264" s="249"/>
      <c r="U264" s="249"/>
      <c r="V264" s="249"/>
    </row>
    <row r="265">
      <c r="A265" s="255" t="s">
        <v>1006</v>
      </c>
      <c r="B265" s="248" t="s">
        <v>573</v>
      </c>
      <c r="C265" s="248" t="s">
        <v>574</v>
      </c>
      <c r="D265" s="248" t="s">
        <v>520</v>
      </c>
      <c r="E265" s="248">
        <v>38000.0</v>
      </c>
      <c r="F265" s="287">
        <v>45576.0</v>
      </c>
      <c r="G265" s="248">
        <v>2024.0</v>
      </c>
      <c r="H265" s="248" t="s">
        <v>513</v>
      </c>
      <c r="I265" s="248" t="s">
        <v>514</v>
      </c>
      <c r="J265" s="248" t="s">
        <v>309</v>
      </c>
      <c r="K265" s="249" t="s">
        <v>66</v>
      </c>
      <c r="L265" s="257" t="s">
        <v>523</v>
      </c>
      <c r="M265" s="249"/>
      <c r="N265" s="249"/>
      <c r="O265" s="249"/>
      <c r="P265" s="249"/>
      <c r="Q265" s="249"/>
      <c r="R265" s="249"/>
      <c r="S265" s="249"/>
      <c r="T265" s="249"/>
      <c r="U265" s="249"/>
      <c r="V265" s="249"/>
    </row>
    <row r="266">
      <c r="A266" s="255" t="s">
        <v>1007</v>
      </c>
      <c r="B266" s="248" t="s">
        <v>810</v>
      </c>
      <c r="C266" s="248" t="s">
        <v>655</v>
      </c>
      <c r="D266" s="248" t="s">
        <v>520</v>
      </c>
      <c r="E266" s="248">
        <v>8008.0</v>
      </c>
      <c r="F266" s="287">
        <v>45576.0</v>
      </c>
      <c r="G266" s="248">
        <v>2024.0</v>
      </c>
      <c r="H266" s="248" t="s">
        <v>546</v>
      </c>
      <c r="I266" s="248" t="s">
        <v>561</v>
      </c>
      <c r="J266" s="248" t="s">
        <v>309</v>
      </c>
      <c r="K266" s="249" t="s">
        <v>66</v>
      </c>
      <c r="L266" s="257" t="s">
        <v>523</v>
      </c>
      <c r="M266" s="249"/>
      <c r="N266" s="249"/>
      <c r="O266" s="249"/>
      <c r="P266" s="249"/>
      <c r="Q266" s="249"/>
      <c r="R266" s="249"/>
      <c r="S266" s="249"/>
      <c r="T266" s="249"/>
      <c r="U266" s="249"/>
      <c r="V266" s="249"/>
    </row>
    <row r="267">
      <c r="A267" s="255" t="s">
        <v>1008</v>
      </c>
      <c r="B267" s="248" t="s">
        <v>966</v>
      </c>
      <c r="C267" s="248" t="s">
        <v>737</v>
      </c>
      <c r="D267" s="248" t="s">
        <v>512</v>
      </c>
      <c r="E267" s="248">
        <v>2766.0</v>
      </c>
      <c r="F267" s="287">
        <v>45576.0</v>
      </c>
      <c r="G267" s="248">
        <v>2024.0</v>
      </c>
      <c r="H267" s="248" t="s">
        <v>513</v>
      </c>
      <c r="I267" s="248" t="s">
        <v>521</v>
      </c>
      <c r="J267" s="248" t="s">
        <v>297</v>
      </c>
      <c r="K267" s="249" t="s">
        <v>66</v>
      </c>
      <c r="L267" s="257" t="s">
        <v>523</v>
      </c>
      <c r="M267" s="249"/>
      <c r="N267" s="249"/>
      <c r="O267" s="249"/>
      <c r="P267" s="249"/>
      <c r="Q267" s="249"/>
      <c r="R267" s="249"/>
      <c r="S267" s="249"/>
      <c r="T267" s="249"/>
      <c r="U267" s="249"/>
      <c r="V267" s="249"/>
    </row>
    <row r="268">
      <c r="A268" s="255" t="s">
        <v>1009</v>
      </c>
      <c r="B268" s="248" t="s">
        <v>679</v>
      </c>
      <c r="C268" s="248" t="s">
        <v>663</v>
      </c>
      <c r="D268" s="248" t="s">
        <v>520</v>
      </c>
      <c r="E268" s="248">
        <v>393358.0</v>
      </c>
      <c r="F268" s="287">
        <v>45576.0</v>
      </c>
      <c r="G268" s="248">
        <v>2024.0</v>
      </c>
      <c r="H268" s="248" t="s">
        <v>513</v>
      </c>
      <c r="I268" s="248" t="s">
        <v>514</v>
      </c>
      <c r="J268" s="248" t="s">
        <v>309</v>
      </c>
      <c r="K268" s="249" t="s">
        <v>66</v>
      </c>
      <c r="L268" s="257" t="s">
        <v>523</v>
      </c>
      <c r="M268" s="249"/>
      <c r="N268" s="249"/>
      <c r="O268" s="249"/>
      <c r="P268" s="249"/>
      <c r="Q268" s="249"/>
      <c r="R268" s="249"/>
      <c r="S268" s="249"/>
      <c r="T268" s="249"/>
      <c r="U268" s="249"/>
      <c r="V268" s="249"/>
    </row>
    <row r="269">
      <c r="A269" s="255" t="s">
        <v>1010</v>
      </c>
      <c r="B269" s="248" t="s">
        <v>668</v>
      </c>
      <c r="C269" s="248" t="s">
        <v>669</v>
      </c>
      <c r="D269" s="248" t="s">
        <v>512</v>
      </c>
      <c r="E269" s="248">
        <v>10737.0</v>
      </c>
      <c r="F269" s="287">
        <v>45575.0</v>
      </c>
      <c r="G269" s="248">
        <v>2024.0</v>
      </c>
      <c r="H269" s="248" t="s">
        <v>513</v>
      </c>
      <c r="I269" s="248" t="s">
        <v>521</v>
      </c>
      <c r="J269" s="248" t="s">
        <v>297</v>
      </c>
      <c r="K269" s="249" t="s">
        <v>66</v>
      </c>
      <c r="L269" s="257" t="s">
        <v>523</v>
      </c>
      <c r="M269" s="249"/>
      <c r="N269" s="249"/>
      <c r="O269" s="249"/>
      <c r="P269" s="249"/>
      <c r="Q269" s="249"/>
      <c r="R269" s="249"/>
      <c r="S269" s="249"/>
      <c r="T269" s="249"/>
      <c r="U269" s="249"/>
      <c r="V269" s="249"/>
    </row>
    <row r="270">
      <c r="A270" s="255" t="s">
        <v>1011</v>
      </c>
      <c r="B270" s="248" t="s">
        <v>679</v>
      </c>
      <c r="C270" s="248" t="s">
        <v>663</v>
      </c>
      <c r="D270" s="248" t="s">
        <v>512</v>
      </c>
      <c r="E270" s="248">
        <v>39825.0</v>
      </c>
      <c r="F270" s="287">
        <v>45575.0</v>
      </c>
      <c r="G270" s="248">
        <v>2024.0</v>
      </c>
      <c r="H270" s="248" t="s">
        <v>513</v>
      </c>
      <c r="I270" s="248" t="s">
        <v>521</v>
      </c>
      <c r="J270" s="248" t="s">
        <v>297</v>
      </c>
      <c r="K270" s="249" t="s">
        <v>66</v>
      </c>
      <c r="L270" s="257" t="s">
        <v>523</v>
      </c>
      <c r="M270" s="249"/>
      <c r="N270" s="249"/>
      <c r="O270" s="249"/>
      <c r="P270" s="249"/>
      <c r="Q270" s="249"/>
      <c r="R270" s="249"/>
      <c r="S270" s="249"/>
      <c r="T270" s="249"/>
      <c r="U270" s="249"/>
      <c r="V270" s="249"/>
    </row>
    <row r="271">
      <c r="A271" s="255" t="s">
        <v>1012</v>
      </c>
      <c r="B271" s="248" t="s">
        <v>590</v>
      </c>
      <c r="C271" s="248" t="s">
        <v>591</v>
      </c>
      <c r="D271" s="248" t="s">
        <v>520</v>
      </c>
      <c r="E271" s="248">
        <v>22959.0</v>
      </c>
      <c r="F271" s="256">
        <v>45573.0</v>
      </c>
      <c r="G271" s="248">
        <v>2024.0</v>
      </c>
      <c r="H271" s="248" t="s">
        <v>546</v>
      </c>
      <c r="I271" s="248" t="s">
        <v>514</v>
      </c>
      <c r="J271" s="248" t="s">
        <v>309</v>
      </c>
      <c r="K271" s="249" t="s">
        <v>66</v>
      </c>
      <c r="L271" s="257" t="s">
        <v>523</v>
      </c>
      <c r="M271" s="249"/>
      <c r="N271" s="249"/>
      <c r="O271" s="249"/>
      <c r="P271" s="249"/>
      <c r="Q271" s="249"/>
      <c r="R271" s="249"/>
      <c r="S271" s="249"/>
      <c r="T271" s="249"/>
      <c r="U271" s="249"/>
      <c r="V271" s="249"/>
    </row>
    <row r="272">
      <c r="A272" s="255" t="s">
        <v>1013</v>
      </c>
      <c r="B272" s="248" t="s">
        <v>538</v>
      </c>
      <c r="C272" s="248" t="s">
        <v>539</v>
      </c>
      <c r="D272" s="248" t="s">
        <v>520</v>
      </c>
      <c r="E272" s="248">
        <v>9993.0</v>
      </c>
      <c r="F272" s="256">
        <v>45573.0</v>
      </c>
      <c r="G272" s="248">
        <v>2024.0</v>
      </c>
      <c r="H272" s="248" t="s">
        <v>513</v>
      </c>
      <c r="I272" s="248" t="s">
        <v>521</v>
      </c>
      <c r="J272" s="248" t="s">
        <v>309</v>
      </c>
      <c r="K272" s="249" t="s">
        <v>66</v>
      </c>
      <c r="L272" s="257" t="s">
        <v>523</v>
      </c>
      <c r="M272" s="249"/>
      <c r="N272" s="249"/>
      <c r="O272" s="249"/>
      <c r="P272" s="249"/>
      <c r="Q272" s="249"/>
      <c r="R272" s="249"/>
      <c r="S272" s="249"/>
      <c r="T272" s="249"/>
      <c r="U272" s="249"/>
      <c r="V272" s="249"/>
    </row>
    <row r="273">
      <c r="A273" s="255" t="s">
        <v>1014</v>
      </c>
      <c r="B273" s="248" t="s">
        <v>688</v>
      </c>
      <c r="C273" s="248" t="s">
        <v>683</v>
      </c>
      <c r="D273" s="248" t="s">
        <v>512</v>
      </c>
      <c r="E273" s="248">
        <v>9271.0</v>
      </c>
      <c r="F273" s="256">
        <v>45573.0</v>
      </c>
      <c r="G273" s="248">
        <v>2024.0</v>
      </c>
      <c r="H273" s="248" t="s">
        <v>513</v>
      </c>
      <c r="I273" s="248" t="s">
        <v>514</v>
      </c>
      <c r="J273" s="248" t="s">
        <v>297</v>
      </c>
      <c r="K273" s="249" t="s">
        <v>66</v>
      </c>
      <c r="L273" s="257" t="s">
        <v>523</v>
      </c>
      <c r="M273" s="249"/>
      <c r="N273" s="249"/>
      <c r="O273" s="249"/>
      <c r="P273" s="249"/>
      <c r="Q273" s="249"/>
      <c r="R273" s="249"/>
      <c r="S273" s="249"/>
      <c r="T273" s="249"/>
      <c r="U273" s="249"/>
      <c r="V273" s="249"/>
    </row>
    <row r="274">
      <c r="A274" s="255" t="s">
        <v>1015</v>
      </c>
      <c r="B274" s="249"/>
      <c r="C274" s="248" t="e">
        <v>#N/A</v>
      </c>
      <c r="D274" s="248" t="s">
        <v>512</v>
      </c>
      <c r="E274" s="248">
        <v>1570.0</v>
      </c>
      <c r="F274" s="256">
        <v>45572.0</v>
      </c>
      <c r="G274" s="248">
        <v>2024.0</v>
      </c>
      <c r="H274" s="248" t="s">
        <v>513</v>
      </c>
      <c r="I274" s="248" t="s">
        <v>514</v>
      </c>
      <c r="J274" s="248" t="s">
        <v>297</v>
      </c>
      <c r="K274" s="249" t="s">
        <v>66</v>
      </c>
      <c r="L274" s="257" t="s">
        <v>523</v>
      </c>
      <c r="M274" s="249"/>
      <c r="N274" s="249"/>
      <c r="O274" s="249"/>
      <c r="P274" s="249"/>
      <c r="Q274" s="249"/>
      <c r="R274" s="249"/>
      <c r="S274" s="249"/>
      <c r="T274" s="249"/>
      <c r="U274" s="249"/>
      <c r="V274" s="249"/>
    </row>
    <row r="275">
      <c r="A275" s="255" t="s">
        <v>1016</v>
      </c>
      <c r="B275" s="248" t="s">
        <v>886</v>
      </c>
      <c r="C275" s="248" t="s">
        <v>636</v>
      </c>
      <c r="D275" s="248" t="s">
        <v>520</v>
      </c>
      <c r="E275" s="248">
        <v>9941.0</v>
      </c>
      <c r="F275" s="256">
        <v>45572.0</v>
      </c>
      <c r="G275" s="248">
        <v>2024.0</v>
      </c>
      <c r="H275" s="248" t="s">
        <v>513</v>
      </c>
      <c r="I275" s="248" t="s">
        <v>514</v>
      </c>
      <c r="J275" s="248" t="s">
        <v>309</v>
      </c>
      <c r="K275" s="249" t="s">
        <v>66</v>
      </c>
      <c r="L275" s="257" t="s">
        <v>523</v>
      </c>
      <c r="M275" s="249"/>
      <c r="N275" s="249"/>
      <c r="O275" s="249"/>
      <c r="P275" s="249"/>
      <c r="Q275" s="249"/>
      <c r="R275" s="249"/>
      <c r="S275" s="249"/>
      <c r="T275" s="249"/>
      <c r="U275" s="249"/>
      <c r="V275" s="249"/>
    </row>
    <row r="276">
      <c r="A276" s="255" t="s">
        <v>1017</v>
      </c>
      <c r="B276" s="248" t="s">
        <v>641</v>
      </c>
      <c r="C276" s="248" t="s">
        <v>633</v>
      </c>
      <c r="D276" s="248" t="s">
        <v>512</v>
      </c>
      <c r="E276" s="248">
        <v>1331.0</v>
      </c>
      <c r="F276" s="256">
        <v>45572.0</v>
      </c>
      <c r="G276" s="248">
        <v>2024.0</v>
      </c>
      <c r="H276" s="248" t="s">
        <v>513</v>
      </c>
      <c r="I276" s="248" t="s">
        <v>521</v>
      </c>
      <c r="J276" s="248" t="s">
        <v>297</v>
      </c>
      <c r="K276" s="249" t="s">
        <v>66</v>
      </c>
      <c r="L276" s="257" t="s">
        <v>523</v>
      </c>
      <c r="M276" s="249"/>
      <c r="N276" s="249"/>
      <c r="O276" s="249"/>
      <c r="P276" s="249"/>
      <c r="Q276" s="249"/>
      <c r="R276" s="249"/>
      <c r="S276" s="249"/>
      <c r="T276" s="249"/>
      <c r="U276" s="249"/>
      <c r="V276" s="249"/>
    </row>
    <row r="277">
      <c r="A277" s="255" t="s">
        <v>1018</v>
      </c>
      <c r="B277" s="248" t="s">
        <v>518</v>
      </c>
      <c r="C277" s="248" t="s">
        <v>519</v>
      </c>
      <c r="D277" s="248" t="s">
        <v>520</v>
      </c>
      <c r="E277" s="248">
        <v>22897.0</v>
      </c>
      <c r="F277" s="256">
        <v>45572.0</v>
      </c>
      <c r="G277" s="248">
        <v>2024.0</v>
      </c>
      <c r="H277" s="248" t="s">
        <v>513</v>
      </c>
      <c r="I277" s="248" t="s">
        <v>521</v>
      </c>
      <c r="J277" s="248" t="s">
        <v>309</v>
      </c>
      <c r="K277" s="249" t="s">
        <v>66</v>
      </c>
      <c r="L277" s="257" t="s">
        <v>523</v>
      </c>
      <c r="M277" s="249"/>
      <c r="N277" s="249"/>
      <c r="O277" s="249"/>
      <c r="P277" s="249"/>
      <c r="Q277" s="249"/>
      <c r="R277" s="249"/>
      <c r="S277" s="249"/>
      <c r="T277" s="249"/>
      <c r="U277" s="249"/>
      <c r="V277" s="249"/>
    </row>
    <row r="278">
      <c r="A278" s="255" t="s">
        <v>1019</v>
      </c>
      <c r="B278" s="248" t="s">
        <v>573</v>
      </c>
      <c r="C278" s="248" t="s">
        <v>574</v>
      </c>
      <c r="D278" s="248" t="s">
        <v>520</v>
      </c>
      <c r="E278" s="248">
        <v>909469.0</v>
      </c>
      <c r="F278" s="256">
        <v>45569.0</v>
      </c>
      <c r="G278" s="248">
        <v>2024.0</v>
      </c>
      <c r="H278" s="248" t="s">
        <v>513</v>
      </c>
      <c r="I278" s="248" t="s">
        <v>514</v>
      </c>
      <c r="J278" s="248" t="s">
        <v>309</v>
      </c>
      <c r="K278" s="249" t="s">
        <v>66</v>
      </c>
      <c r="L278" s="257" t="s">
        <v>523</v>
      </c>
      <c r="M278" s="249"/>
      <c r="N278" s="249"/>
      <c r="O278" s="249"/>
      <c r="P278" s="249"/>
      <c r="Q278" s="249"/>
      <c r="R278" s="249"/>
      <c r="S278" s="249"/>
      <c r="T278" s="249"/>
      <c r="U278" s="249"/>
      <c r="V278" s="249"/>
    </row>
    <row r="279">
      <c r="A279" s="255" t="s">
        <v>1020</v>
      </c>
      <c r="B279" s="248" t="s">
        <v>530</v>
      </c>
      <c r="C279" s="248" t="s">
        <v>531</v>
      </c>
      <c r="D279" s="248" t="s">
        <v>512</v>
      </c>
      <c r="E279" s="248">
        <v>468344.0</v>
      </c>
      <c r="F279" s="256">
        <v>45569.0</v>
      </c>
      <c r="G279" s="248">
        <v>2024.0</v>
      </c>
      <c r="H279" s="248" t="s">
        <v>513</v>
      </c>
      <c r="I279" s="248" t="s">
        <v>514</v>
      </c>
      <c r="J279" s="248" t="s">
        <v>297</v>
      </c>
      <c r="K279" s="249" t="s">
        <v>66</v>
      </c>
      <c r="L279" s="257" t="s">
        <v>523</v>
      </c>
      <c r="M279" s="249"/>
      <c r="N279" s="249"/>
      <c r="O279" s="249"/>
      <c r="P279" s="249"/>
      <c r="Q279" s="249"/>
      <c r="R279" s="249"/>
      <c r="S279" s="249"/>
      <c r="T279" s="249"/>
      <c r="U279" s="249"/>
      <c r="V279" s="249"/>
    </row>
    <row r="280">
      <c r="A280" s="255" t="s">
        <v>1021</v>
      </c>
      <c r="B280" s="248" t="s">
        <v>679</v>
      </c>
      <c r="C280" s="248" t="s">
        <v>663</v>
      </c>
      <c r="D280" s="248" t="s">
        <v>512</v>
      </c>
      <c r="E280" s="248">
        <v>50000.0</v>
      </c>
      <c r="F280" s="256">
        <v>45569.0</v>
      </c>
      <c r="G280" s="248">
        <v>2024.0</v>
      </c>
      <c r="H280" s="248" t="s">
        <v>513</v>
      </c>
      <c r="I280" s="248" t="s">
        <v>514</v>
      </c>
      <c r="J280" s="248" t="s">
        <v>297</v>
      </c>
      <c r="K280" s="249" t="s">
        <v>66</v>
      </c>
      <c r="L280" s="257" t="s">
        <v>523</v>
      </c>
      <c r="M280" s="249"/>
      <c r="N280" s="249"/>
      <c r="O280" s="249"/>
      <c r="P280" s="249"/>
      <c r="Q280" s="249"/>
      <c r="R280" s="249"/>
      <c r="S280" s="249"/>
      <c r="T280" s="249"/>
      <c r="U280" s="249"/>
      <c r="V280" s="249"/>
    </row>
    <row r="281">
      <c r="A281" s="255" t="s">
        <v>1022</v>
      </c>
      <c r="B281" s="248" t="s">
        <v>573</v>
      </c>
      <c r="C281" s="248" t="s">
        <v>574</v>
      </c>
      <c r="D281" s="248" t="s">
        <v>512</v>
      </c>
      <c r="E281" s="248">
        <v>161707.0</v>
      </c>
      <c r="F281" s="256">
        <v>45569.0</v>
      </c>
      <c r="G281" s="248">
        <v>2024.0</v>
      </c>
      <c r="H281" s="248" t="s">
        <v>513</v>
      </c>
      <c r="I281" s="248" t="s">
        <v>514</v>
      </c>
      <c r="J281" s="248" t="s">
        <v>297</v>
      </c>
      <c r="K281" s="249" t="s">
        <v>66</v>
      </c>
      <c r="L281" s="257" t="s">
        <v>523</v>
      </c>
      <c r="M281" s="249"/>
      <c r="N281" s="249"/>
      <c r="O281" s="249"/>
      <c r="P281" s="249"/>
      <c r="Q281" s="249"/>
      <c r="R281" s="249"/>
      <c r="S281" s="249"/>
      <c r="T281" s="249"/>
      <c r="U281" s="249"/>
      <c r="V281" s="249"/>
    </row>
    <row r="282">
      <c r="A282" s="255" t="s">
        <v>1023</v>
      </c>
      <c r="B282" s="248" t="s">
        <v>815</v>
      </c>
      <c r="C282" s="248" t="s">
        <v>728</v>
      </c>
      <c r="D282" s="248" t="s">
        <v>512</v>
      </c>
      <c r="E282" s="248">
        <v>132609.0</v>
      </c>
      <c r="F282" s="256">
        <v>45569.0</v>
      </c>
      <c r="G282" s="248">
        <v>2024.0</v>
      </c>
      <c r="H282" s="248" t="s">
        <v>513</v>
      </c>
      <c r="I282" s="248" t="s">
        <v>521</v>
      </c>
      <c r="J282" s="248" t="s">
        <v>297</v>
      </c>
      <c r="K282" s="249" t="s">
        <v>66</v>
      </c>
      <c r="L282" s="257" t="s">
        <v>523</v>
      </c>
      <c r="M282" s="249"/>
      <c r="N282" s="249"/>
      <c r="O282" s="249"/>
      <c r="P282" s="249"/>
      <c r="Q282" s="249"/>
      <c r="R282" s="249"/>
      <c r="S282" s="249"/>
      <c r="T282" s="249"/>
      <c r="U282" s="249"/>
      <c r="V282" s="249"/>
    </row>
    <row r="283">
      <c r="A283" s="255" t="s">
        <v>1024</v>
      </c>
      <c r="B283" s="248" t="s">
        <v>590</v>
      </c>
      <c r="C283" s="248" t="s">
        <v>591</v>
      </c>
      <c r="D283" s="248" t="s">
        <v>512</v>
      </c>
      <c r="E283" s="248">
        <v>2579.0</v>
      </c>
      <c r="F283" s="256">
        <v>45568.0</v>
      </c>
      <c r="G283" s="248">
        <v>2024.0</v>
      </c>
      <c r="H283" s="248" t="s">
        <v>513</v>
      </c>
      <c r="I283" s="248" t="s">
        <v>514</v>
      </c>
      <c r="J283" s="248" t="s">
        <v>297</v>
      </c>
      <c r="K283" s="249" t="s">
        <v>66</v>
      </c>
      <c r="L283" s="257" t="s">
        <v>523</v>
      </c>
      <c r="M283" s="249"/>
      <c r="N283" s="249"/>
      <c r="O283" s="249"/>
      <c r="P283" s="249"/>
      <c r="Q283" s="249"/>
      <c r="R283" s="249"/>
      <c r="S283" s="249"/>
      <c r="T283" s="249"/>
      <c r="U283" s="249"/>
      <c r="V283" s="249"/>
    </row>
    <row r="284">
      <c r="A284" s="255" t="s">
        <v>1025</v>
      </c>
      <c r="B284" s="248" t="s">
        <v>586</v>
      </c>
      <c r="C284" s="248" t="s">
        <v>587</v>
      </c>
      <c r="D284" s="248" t="s">
        <v>512</v>
      </c>
      <c r="E284" s="248">
        <v>1915.0</v>
      </c>
      <c r="F284" s="256">
        <v>45566.0</v>
      </c>
      <c r="G284" s="248">
        <v>2024.0</v>
      </c>
      <c r="H284" s="248" t="s">
        <v>546</v>
      </c>
      <c r="I284" s="248" t="s">
        <v>620</v>
      </c>
      <c r="J284" s="248" t="s">
        <v>297</v>
      </c>
      <c r="K284" s="249" t="s">
        <v>66</v>
      </c>
      <c r="L284" s="257" t="s">
        <v>523</v>
      </c>
      <c r="M284" s="249"/>
      <c r="N284" s="249"/>
      <c r="O284" s="249"/>
      <c r="P284" s="249"/>
      <c r="Q284" s="249"/>
      <c r="R284" s="249"/>
      <c r="S284" s="249"/>
      <c r="T284" s="249"/>
      <c r="U284" s="249"/>
      <c r="V284" s="249"/>
    </row>
    <row r="285">
      <c r="A285" s="255" t="s">
        <v>1026</v>
      </c>
      <c r="B285" s="248" t="s">
        <v>679</v>
      </c>
      <c r="C285" s="248" t="s">
        <v>663</v>
      </c>
      <c r="D285" s="248" t="s">
        <v>575</v>
      </c>
      <c r="E285" s="248">
        <v>1228.0</v>
      </c>
      <c r="F285" s="256">
        <v>45565.0</v>
      </c>
      <c r="G285" s="248">
        <v>2024.0</v>
      </c>
      <c r="H285" s="248" t="s">
        <v>513</v>
      </c>
      <c r="I285" s="248" t="s">
        <v>521</v>
      </c>
      <c r="J285" s="248" t="s">
        <v>297</v>
      </c>
      <c r="K285" s="249" t="s">
        <v>66</v>
      </c>
      <c r="L285" s="257" t="s">
        <v>523</v>
      </c>
      <c r="M285" s="249"/>
      <c r="N285" s="249"/>
      <c r="O285" s="249"/>
      <c r="P285" s="249"/>
      <c r="Q285" s="249"/>
      <c r="R285" s="249"/>
      <c r="S285" s="249"/>
      <c r="T285" s="249"/>
      <c r="U285" s="249"/>
      <c r="V285" s="249"/>
    </row>
    <row r="286">
      <c r="A286" s="255" t="s">
        <v>1027</v>
      </c>
      <c r="B286" s="248" t="s">
        <v>578</v>
      </c>
      <c r="C286" s="248" t="s">
        <v>579</v>
      </c>
      <c r="D286" s="248" t="s">
        <v>520</v>
      </c>
      <c r="E286" s="248">
        <v>26474.0</v>
      </c>
      <c r="F286" s="256">
        <v>45562.0</v>
      </c>
      <c r="G286" s="248">
        <v>2024.0</v>
      </c>
      <c r="H286" s="248" t="s">
        <v>513</v>
      </c>
      <c r="I286" s="248" t="s">
        <v>521</v>
      </c>
      <c r="J286" s="248" t="s">
        <v>309</v>
      </c>
      <c r="K286" s="249" t="s">
        <v>66</v>
      </c>
      <c r="L286" s="257" t="s">
        <v>523</v>
      </c>
      <c r="M286" s="249"/>
      <c r="N286" s="249"/>
      <c r="O286" s="249"/>
      <c r="P286" s="249"/>
      <c r="Q286" s="249"/>
      <c r="R286" s="249"/>
      <c r="S286" s="249"/>
      <c r="T286" s="249"/>
      <c r="U286" s="249"/>
      <c r="V286" s="249"/>
    </row>
    <row r="287">
      <c r="A287" s="255" t="s">
        <v>1028</v>
      </c>
      <c r="B287" s="248" t="s">
        <v>564</v>
      </c>
      <c r="C287" s="248" t="s">
        <v>565</v>
      </c>
      <c r="D287" s="248" t="s">
        <v>520</v>
      </c>
      <c r="E287" s="248">
        <v>242200.0</v>
      </c>
      <c r="F287" s="256">
        <v>45561.0</v>
      </c>
      <c r="G287" s="248">
        <v>2024.0</v>
      </c>
      <c r="H287" s="248" t="s">
        <v>513</v>
      </c>
      <c r="I287" s="248" t="s">
        <v>514</v>
      </c>
      <c r="J287" s="248" t="s">
        <v>309</v>
      </c>
      <c r="K287" s="249" t="s">
        <v>66</v>
      </c>
      <c r="L287" s="257" t="s">
        <v>523</v>
      </c>
      <c r="M287" s="249"/>
      <c r="N287" s="249"/>
      <c r="O287" s="249"/>
      <c r="P287" s="249"/>
      <c r="Q287" s="249"/>
      <c r="R287" s="249"/>
      <c r="S287" s="249"/>
      <c r="T287" s="249"/>
      <c r="U287" s="249"/>
      <c r="V287" s="249"/>
    </row>
    <row r="288">
      <c r="A288" s="255" t="s">
        <v>1029</v>
      </c>
      <c r="B288" s="248" t="s">
        <v>679</v>
      </c>
      <c r="C288" s="248" t="s">
        <v>663</v>
      </c>
      <c r="D288" s="248" t="s">
        <v>512</v>
      </c>
      <c r="E288" s="248">
        <v>8048.0</v>
      </c>
      <c r="F288" s="256">
        <v>45561.0</v>
      </c>
      <c r="G288" s="248">
        <v>2024.0</v>
      </c>
      <c r="H288" s="248" t="s">
        <v>513</v>
      </c>
      <c r="I288" s="248" t="s">
        <v>521</v>
      </c>
      <c r="J288" s="248" t="s">
        <v>297</v>
      </c>
      <c r="K288" s="249" t="s">
        <v>66</v>
      </c>
      <c r="L288" s="257" t="s">
        <v>523</v>
      </c>
      <c r="M288" s="249"/>
      <c r="N288" s="249"/>
      <c r="O288" s="249"/>
      <c r="P288" s="249"/>
      <c r="Q288" s="249"/>
      <c r="R288" s="249"/>
      <c r="S288" s="249"/>
      <c r="T288" s="249"/>
      <c r="U288" s="249"/>
      <c r="V288" s="249"/>
    </row>
    <row r="289">
      <c r="A289" s="255" t="s">
        <v>1030</v>
      </c>
      <c r="B289" s="248" t="s">
        <v>980</v>
      </c>
      <c r="C289" s="248" t="s">
        <v>701</v>
      </c>
      <c r="D289" s="248" t="s">
        <v>512</v>
      </c>
      <c r="E289" s="248">
        <v>123816.0</v>
      </c>
      <c r="F289" s="256">
        <v>45561.0</v>
      </c>
      <c r="G289" s="248">
        <v>2024.0</v>
      </c>
      <c r="H289" s="248" t="s">
        <v>513</v>
      </c>
      <c r="I289" s="248" t="s">
        <v>514</v>
      </c>
      <c r="J289" s="248" t="s">
        <v>297</v>
      </c>
      <c r="K289" s="249" t="s">
        <v>66</v>
      </c>
      <c r="L289" s="257" t="s">
        <v>523</v>
      </c>
      <c r="M289" s="249"/>
      <c r="N289" s="249"/>
      <c r="O289" s="249"/>
      <c r="P289" s="249"/>
      <c r="Q289" s="249"/>
      <c r="R289" s="249"/>
      <c r="S289" s="249"/>
      <c r="T289" s="249"/>
      <c r="U289" s="249"/>
      <c r="V289" s="249"/>
    </row>
    <row r="290">
      <c r="A290" s="255" t="s">
        <v>1031</v>
      </c>
      <c r="B290" s="248" t="s">
        <v>924</v>
      </c>
      <c r="C290" s="248" t="s">
        <v>725</v>
      </c>
      <c r="D290" s="248" t="s">
        <v>512</v>
      </c>
      <c r="E290" s="248">
        <v>57891.0</v>
      </c>
      <c r="F290" s="256">
        <v>45561.0</v>
      </c>
      <c r="G290" s="248">
        <v>2024.0</v>
      </c>
      <c r="H290" s="248" t="s">
        <v>513</v>
      </c>
      <c r="I290" s="248" t="s">
        <v>521</v>
      </c>
      <c r="J290" s="248" t="s">
        <v>297</v>
      </c>
      <c r="K290" s="249" t="s">
        <v>66</v>
      </c>
      <c r="L290" s="257" t="s">
        <v>523</v>
      </c>
      <c r="M290" s="249"/>
      <c r="N290" s="249"/>
      <c r="O290" s="249"/>
      <c r="P290" s="249"/>
      <c r="Q290" s="249"/>
      <c r="R290" s="249"/>
      <c r="S290" s="249"/>
      <c r="T290" s="249"/>
      <c r="U290" s="249"/>
      <c r="V290" s="249"/>
    </row>
    <row r="291">
      <c r="A291" s="255" t="s">
        <v>1032</v>
      </c>
      <c r="B291" s="248" t="s">
        <v>705</v>
      </c>
      <c r="C291" s="248" t="s">
        <v>706</v>
      </c>
      <c r="D291" s="248" t="s">
        <v>512</v>
      </c>
      <c r="E291" s="248">
        <v>51627.0</v>
      </c>
      <c r="F291" s="256">
        <v>45560.0</v>
      </c>
      <c r="G291" s="248">
        <v>2024.0</v>
      </c>
      <c r="H291" s="248" t="s">
        <v>513</v>
      </c>
      <c r="I291" s="248" t="s">
        <v>514</v>
      </c>
      <c r="J291" s="248" t="s">
        <v>297</v>
      </c>
      <c r="K291" s="249" t="s">
        <v>66</v>
      </c>
      <c r="L291" s="257" t="s">
        <v>523</v>
      </c>
      <c r="M291" s="249"/>
      <c r="N291" s="249"/>
      <c r="O291" s="249"/>
      <c r="P291" s="249"/>
      <c r="Q291" s="249"/>
      <c r="R291" s="249"/>
      <c r="S291" s="249"/>
      <c r="T291" s="249"/>
      <c r="U291" s="249"/>
      <c r="V291" s="249"/>
    </row>
    <row r="292">
      <c r="A292" s="255" t="s">
        <v>1033</v>
      </c>
      <c r="B292" s="248" t="s">
        <v>530</v>
      </c>
      <c r="C292" s="248" t="s">
        <v>531</v>
      </c>
      <c r="D292" s="248" t="s">
        <v>512</v>
      </c>
      <c r="E292" s="248">
        <v>129048.0</v>
      </c>
      <c r="F292" s="256">
        <v>45559.0</v>
      </c>
      <c r="G292" s="248">
        <v>2024.0</v>
      </c>
      <c r="H292" s="248" t="s">
        <v>513</v>
      </c>
      <c r="I292" s="248" t="s">
        <v>521</v>
      </c>
      <c r="J292" s="248" t="s">
        <v>297</v>
      </c>
      <c r="K292" s="249" t="s">
        <v>66</v>
      </c>
      <c r="L292" s="257" t="s">
        <v>523</v>
      </c>
      <c r="M292" s="249"/>
      <c r="N292" s="249"/>
      <c r="O292" s="249"/>
      <c r="P292" s="249"/>
      <c r="Q292" s="249"/>
      <c r="R292" s="249"/>
      <c r="S292" s="249"/>
      <c r="T292" s="249"/>
      <c r="U292" s="249"/>
      <c r="V292" s="249"/>
    </row>
    <row r="293">
      <c r="A293" s="255" t="s">
        <v>1034</v>
      </c>
      <c r="B293" s="248" t="s">
        <v>542</v>
      </c>
      <c r="C293" s="248" t="s">
        <v>543</v>
      </c>
      <c r="D293" s="248" t="s">
        <v>512</v>
      </c>
      <c r="E293" s="248">
        <v>6567.0</v>
      </c>
      <c r="F293" s="256">
        <v>45559.0</v>
      </c>
      <c r="G293" s="248">
        <v>2024.0</v>
      </c>
      <c r="H293" s="248" t="s">
        <v>513</v>
      </c>
      <c r="I293" s="248" t="s">
        <v>514</v>
      </c>
      <c r="J293" s="248" t="s">
        <v>297</v>
      </c>
      <c r="K293" s="249" t="s">
        <v>66</v>
      </c>
      <c r="L293" s="257" t="s">
        <v>523</v>
      </c>
      <c r="M293" s="249"/>
      <c r="N293" s="249"/>
      <c r="O293" s="249"/>
      <c r="P293" s="249"/>
      <c r="Q293" s="249"/>
      <c r="R293" s="249"/>
      <c r="S293" s="249"/>
      <c r="T293" s="249"/>
      <c r="U293" s="249"/>
      <c r="V293" s="249"/>
    </row>
    <row r="294">
      <c r="A294" s="255" t="s">
        <v>1035</v>
      </c>
      <c r="B294" s="248" t="s">
        <v>748</v>
      </c>
      <c r="C294" s="248" t="s">
        <v>694</v>
      </c>
      <c r="D294" s="248" t="s">
        <v>512</v>
      </c>
      <c r="E294" s="248">
        <v>58251.0</v>
      </c>
      <c r="F294" s="256">
        <v>45555.0</v>
      </c>
      <c r="G294" s="248">
        <v>2024.0</v>
      </c>
      <c r="H294" s="248" t="s">
        <v>513</v>
      </c>
      <c r="I294" s="248" t="s">
        <v>514</v>
      </c>
      <c r="J294" s="248" t="s">
        <v>297</v>
      </c>
      <c r="K294" s="249" t="s">
        <v>66</v>
      </c>
      <c r="L294" s="257" t="s">
        <v>523</v>
      </c>
      <c r="M294" s="249"/>
      <c r="N294" s="249"/>
      <c r="O294" s="249"/>
      <c r="P294" s="249"/>
      <c r="Q294" s="249"/>
      <c r="R294" s="249"/>
      <c r="S294" s="249"/>
      <c r="T294" s="249"/>
      <c r="U294" s="249"/>
      <c r="V294" s="249"/>
    </row>
    <row r="295">
      <c r="A295" s="255" t="s">
        <v>1036</v>
      </c>
      <c r="B295" s="248" t="s">
        <v>721</v>
      </c>
      <c r="C295" s="248" t="s">
        <v>649</v>
      </c>
      <c r="D295" s="248" t="s">
        <v>520</v>
      </c>
      <c r="E295" s="248">
        <v>180000.0</v>
      </c>
      <c r="F295" s="256">
        <v>45555.0</v>
      </c>
      <c r="G295" s="248">
        <v>2024.0</v>
      </c>
      <c r="H295" s="248" t="s">
        <v>513</v>
      </c>
      <c r="I295" s="248" t="s">
        <v>514</v>
      </c>
      <c r="J295" s="248" t="s">
        <v>309</v>
      </c>
      <c r="K295" s="249" t="s">
        <v>66</v>
      </c>
      <c r="L295" s="257" t="s">
        <v>523</v>
      </c>
      <c r="M295" s="249"/>
      <c r="N295" s="249"/>
      <c r="O295" s="249"/>
      <c r="P295" s="249"/>
      <c r="Q295" s="249"/>
      <c r="R295" s="249"/>
      <c r="S295" s="249"/>
      <c r="T295" s="249"/>
      <c r="U295" s="249"/>
      <c r="V295" s="249"/>
    </row>
    <row r="296">
      <c r="A296" s="255" t="s">
        <v>1037</v>
      </c>
      <c r="B296" s="248" t="s">
        <v>894</v>
      </c>
      <c r="C296" s="248" t="s">
        <v>639</v>
      </c>
      <c r="D296" s="248" t="s">
        <v>575</v>
      </c>
      <c r="E296" s="248">
        <v>2127.0</v>
      </c>
      <c r="F296" s="256">
        <v>45555.0</v>
      </c>
      <c r="G296" s="248">
        <v>2024.0</v>
      </c>
      <c r="H296" s="248" t="s">
        <v>513</v>
      </c>
      <c r="I296" s="248" t="s">
        <v>514</v>
      </c>
      <c r="J296" s="248" t="s">
        <v>297</v>
      </c>
      <c r="K296" s="249" t="s">
        <v>66</v>
      </c>
      <c r="L296" s="257" t="s">
        <v>523</v>
      </c>
      <c r="M296" s="249"/>
      <c r="N296" s="249"/>
      <c r="O296" s="249"/>
      <c r="P296" s="249"/>
      <c r="Q296" s="249"/>
      <c r="R296" s="249"/>
      <c r="S296" s="249"/>
      <c r="T296" s="249"/>
      <c r="U296" s="249"/>
      <c r="V296" s="249"/>
    </row>
    <row r="297">
      <c r="A297" s="255" t="s">
        <v>1038</v>
      </c>
      <c r="B297" s="248" t="s">
        <v>1039</v>
      </c>
      <c r="C297" s="248" t="s">
        <v>686</v>
      </c>
      <c r="D297" s="248" t="s">
        <v>512</v>
      </c>
      <c r="E297" s="248">
        <v>7162.0</v>
      </c>
      <c r="F297" s="256">
        <v>45552.0</v>
      </c>
      <c r="G297" s="248">
        <v>2024.0</v>
      </c>
      <c r="H297" s="248" t="s">
        <v>513</v>
      </c>
      <c r="I297" s="248" t="s">
        <v>521</v>
      </c>
      <c r="J297" s="248" t="s">
        <v>297</v>
      </c>
      <c r="K297" s="249" t="s">
        <v>66</v>
      </c>
      <c r="L297" s="257" t="s">
        <v>523</v>
      </c>
      <c r="M297" s="249"/>
      <c r="N297" s="249"/>
      <c r="O297" s="249"/>
      <c r="P297" s="249"/>
      <c r="Q297" s="249"/>
      <c r="R297" s="249"/>
      <c r="S297" s="249"/>
      <c r="T297" s="249"/>
      <c r="U297" s="249"/>
      <c r="V297" s="249"/>
    </row>
    <row r="298">
      <c r="A298" s="255" t="s">
        <v>1040</v>
      </c>
      <c r="B298" s="248" t="s">
        <v>679</v>
      </c>
      <c r="C298" s="248" t="s">
        <v>663</v>
      </c>
      <c r="D298" s="248" t="s">
        <v>512</v>
      </c>
      <c r="E298" s="248">
        <v>24754.0</v>
      </c>
      <c r="F298" s="256">
        <v>45551.0</v>
      </c>
      <c r="G298" s="248">
        <v>2024.0</v>
      </c>
      <c r="H298" s="248" t="s">
        <v>513</v>
      </c>
      <c r="I298" s="248" t="s">
        <v>514</v>
      </c>
      <c r="J298" s="248" t="s">
        <v>297</v>
      </c>
      <c r="K298" s="249" t="s">
        <v>66</v>
      </c>
      <c r="L298" s="257" t="s">
        <v>523</v>
      </c>
      <c r="M298" s="249"/>
      <c r="N298" s="249"/>
      <c r="O298" s="249"/>
      <c r="P298" s="249"/>
      <c r="Q298" s="249"/>
      <c r="R298" s="249"/>
      <c r="S298" s="249"/>
      <c r="T298" s="249"/>
      <c r="U298" s="249"/>
      <c r="V298" s="249"/>
    </row>
    <row r="299">
      <c r="A299" s="255" t="s">
        <v>1041</v>
      </c>
      <c r="B299" s="248" t="s">
        <v>679</v>
      </c>
      <c r="C299" s="248" t="s">
        <v>663</v>
      </c>
      <c r="D299" s="248" t="s">
        <v>520</v>
      </c>
      <c r="E299" s="248">
        <v>22315.0</v>
      </c>
      <c r="F299" s="256">
        <v>45551.0</v>
      </c>
      <c r="G299" s="248">
        <v>2024.0</v>
      </c>
      <c r="H299" s="248" t="s">
        <v>513</v>
      </c>
      <c r="I299" s="248" t="s">
        <v>521</v>
      </c>
      <c r="J299" s="248" t="s">
        <v>309</v>
      </c>
      <c r="K299" s="249" t="s">
        <v>66</v>
      </c>
      <c r="L299" s="257" t="s">
        <v>523</v>
      </c>
      <c r="M299" s="249"/>
      <c r="N299" s="249"/>
      <c r="O299" s="249"/>
      <c r="P299" s="249"/>
      <c r="Q299" s="249"/>
      <c r="R299" s="249"/>
      <c r="S299" s="249"/>
      <c r="T299" s="249"/>
      <c r="U299" s="249"/>
      <c r="V299" s="249"/>
    </row>
    <row r="300">
      <c r="A300" s="255" t="s">
        <v>1042</v>
      </c>
      <c r="B300" s="249"/>
      <c r="C300" s="248" t="e">
        <v>#N/A</v>
      </c>
      <c r="D300" s="248" t="s">
        <v>512</v>
      </c>
      <c r="E300" s="248">
        <v>4590.0</v>
      </c>
      <c r="F300" s="256">
        <v>45551.0</v>
      </c>
      <c r="G300" s="248">
        <v>2024.0</v>
      </c>
      <c r="H300" s="248" t="s">
        <v>546</v>
      </c>
      <c r="I300" s="248" t="s">
        <v>521</v>
      </c>
      <c r="J300" s="248" t="s">
        <v>297</v>
      </c>
      <c r="K300" s="249" t="s">
        <v>66</v>
      </c>
      <c r="L300" s="257" t="s">
        <v>523</v>
      </c>
      <c r="M300" s="249"/>
      <c r="N300" s="249"/>
      <c r="O300" s="249"/>
      <c r="P300" s="249"/>
      <c r="Q300" s="249"/>
      <c r="R300" s="249"/>
      <c r="S300" s="249"/>
      <c r="T300" s="249"/>
      <c r="U300" s="249"/>
      <c r="V300" s="249"/>
    </row>
    <row r="301">
      <c r="A301" s="255" t="s">
        <v>919</v>
      </c>
      <c r="B301" s="248" t="s">
        <v>748</v>
      </c>
      <c r="C301" s="248" t="s">
        <v>694</v>
      </c>
      <c r="D301" s="248" t="s">
        <v>512</v>
      </c>
      <c r="E301" s="248">
        <v>32120.0</v>
      </c>
      <c r="F301" s="256">
        <v>45548.0</v>
      </c>
      <c r="G301" s="248">
        <v>2024.0</v>
      </c>
      <c r="H301" s="248" t="s">
        <v>513</v>
      </c>
      <c r="I301" s="248" t="s">
        <v>521</v>
      </c>
      <c r="J301" s="248" t="s">
        <v>297</v>
      </c>
      <c r="K301" s="249" t="s">
        <v>66</v>
      </c>
      <c r="L301" s="257" t="s">
        <v>523</v>
      </c>
      <c r="M301" s="249"/>
      <c r="N301" s="249"/>
      <c r="O301" s="249"/>
      <c r="P301" s="249"/>
      <c r="Q301" s="249"/>
      <c r="R301" s="249"/>
      <c r="S301" s="249"/>
      <c r="T301" s="249"/>
      <c r="U301" s="249"/>
      <c r="V301" s="249"/>
    </row>
    <row r="302">
      <c r="A302" s="255" t="s">
        <v>1043</v>
      </c>
      <c r="B302" s="248" t="s">
        <v>564</v>
      </c>
      <c r="C302" s="248" t="s">
        <v>565</v>
      </c>
      <c r="D302" s="248" t="s">
        <v>520</v>
      </c>
      <c r="E302" s="248">
        <v>954177.0</v>
      </c>
      <c r="F302" s="256">
        <v>45546.0</v>
      </c>
      <c r="G302" s="248">
        <v>2024.0</v>
      </c>
      <c r="H302" s="248" t="s">
        <v>513</v>
      </c>
      <c r="I302" s="248" t="s">
        <v>514</v>
      </c>
      <c r="J302" s="248" t="s">
        <v>309</v>
      </c>
      <c r="K302" s="249" t="s">
        <v>66</v>
      </c>
      <c r="L302" s="257" t="s">
        <v>523</v>
      </c>
      <c r="M302" s="249"/>
      <c r="N302" s="249"/>
      <c r="O302" s="249"/>
      <c r="P302" s="249"/>
      <c r="Q302" s="249"/>
      <c r="R302" s="249"/>
      <c r="S302" s="249"/>
      <c r="T302" s="249"/>
      <c r="U302" s="249"/>
      <c r="V302" s="249"/>
    </row>
    <row r="303">
      <c r="A303" s="255" t="s">
        <v>1044</v>
      </c>
      <c r="B303" s="248" t="s">
        <v>578</v>
      </c>
      <c r="C303" s="248" t="s">
        <v>579</v>
      </c>
      <c r="D303" s="248" t="s">
        <v>575</v>
      </c>
      <c r="E303" s="248">
        <v>2059.0</v>
      </c>
      <c r="F303" s="256">
        <v>45545.0</v>
      </c>
      <c r="G303" s="248">
        <v>2024.0</v>
      </c>
      <c r="H303" s="248" t="s">
        <v>513</v>
      </c>
      <c r="I303" s="248" t="s">
        <v>514</v>
      </c>
      <c r="J303" s="248" t="s">
        <v>297</v>
      </c>
      <c r="K303" s="249" t="s">
        <v>66</v>
      </c>
      <c r="L303" s="257" t="s">
        <v>523</v>
      </c>
      <c r="M303" s="249"/>
      <c r="N303" s="249"/>
      <c r="O303" s="249"/>
      <c r="P303" s="249"/>
      <c r="Q303" s="249"/>
      <c r="R303" s="249"/>
      <c r="S303" s="249"/>
      <c r="T303" s="249"/>
      <c r="U303" s="249"/>
      <c r="V303" s="249"/>
    </row>
    <row r="304">
      <c r="A304" s="255" t="s">
        <v>1045</v>
      </c>
      <c r="B304" s="248" t="s">
        <v>668</v>
      </c>
      <c r="C304" s="248" t="s">
        <v>669</v>
      </c>
      <c r="D304" s="248" t="s">
        <v>512</v>
      </c>
      <c r="E304" s="248">
        <v>76365.0</v>
      </c>
      <c r="F304" s="256">
        <v>45544.0</v>
      </c>
      <c r="G304" s="248">
        <v>2024.0</v>
      </c>
      <c r="H304" s="248" t="s">
        <v>513</v>
      </c>
      <c r="I304" s="248" t="s">
        <v>514</v>
      </c>
      <c r="J304" s="248" t="s">
        <v>297</v>
      </c>
      <c r="K304" s="249" t="s">
        <v>66</v>
      </c>
      <c r="L304" s="257" t="s">
        <v>523</v>
      </c>
      <c r="M304" s="249"/>
      <c r="N304" s="249"/>
      <c r="O304" s="249"/>
      <c r="P304" s="249"/>
      <c r="Q304" s="249"/>
      <c r="R304" s="249"/>
      <c r="S304" s="249"/>
      <c r="T304" s="249"/>
      <c r="U304" s="249"/>
      <c r="V304" s="249"/>
    </row>
    <row r="305">
      <c r="A305" s="255" t="s">
        <v>1046</v>
      </c>
      <c r="B305" s="249"/>
      <c r="C305" s="248" t="e">
        <v>#N/A</v>
      </c>
      <c r="D305" s="248" t="s">
        <v>512</v>
      </c>
      <c r="E305" s="248">
        <v>2618.0</v>
      </c>
      <c r="F305" s="256">
        <v>45543.0</v>
      </c>
      <c r="G305" s="248">
        <v>2024.0</v>
      </c>
      <c r="H305" s="248" t="s">
        <v>551</v>
      </c>
      <c r="I305" s="248" t="s">
        <v>1047</v>
      </c>
      <c r="J305" s="248" t="s">
        <v>297</v>
      </c>
      <c r="K305" s="249" t="s">
        <v>66</v>
      </c>
      <c r="L305" s="257" t="s">
        <v>523</v>
      </c>
      <c r="M305" s="249"/>
      <c r="N305" s="249"/>
      <c r="O305" s="249"/>
      <c r="P305" s="249"/>
      <c r="Q305" s="249"/>
      <c r="R305" s="249"/>
      <c r="S305" s="249"/>
      <c r="T305" s="249"/>
      <c r="U305" s="249"/>
      <c r="V305" s="249"/>
    </row>
    <row r="306">
      <c r="A306" s="255" t="s">
        <v>1048</v>
      </c>
      <c r="B306" s="248" t="s">
        <v>810</v>
      </c>
      <c r="C306" s="248" t="s">
        <v>655</v>
      </c>
      <c r="D306" s="248" t="s">
        <v>575</v>
      </c>
      <c r="E306" s="248">
        <v>3112815.0</v>
      </c>
      <c r="F306" s="256">
        <v>45541.0</v>
      </c>
      <c r="G306" s="248">
        <v>2024.0</v>
      </c>
      <c r="H306" s="248" t="s">
        <v>513</v>
      </c>
      <c r="I306" s="248" t="s">
        <v>514</v>
      </c>
      <c r="J306" s="248" t="s">
        <v>309</v>
      </c>
      <c r="K306" s="249" t="s">
        <v>66</v>
      </c>
      <c r="L306" s="257" t="s">
        <v>523</v>
      </c>
      <c r="M306" s="249"/>
      <c r="N306" s="249"/>
      <c r="O306" s="249"/>
      <c r="P306" s="249"/>
      <c r="Q306" s="249"/>
      <c r="R306" s="249"/>
      <c r="S306" s="249"/>
      <c r="T306" s="249"/>
      <c r="U306" s="249"/>
      <c r="V306" s="249"/>
    </row>
    <row r="307">
      <c r="A307" s="255" t="s">
        <v>1049</v>
      </c>
      <c r="B307" s="248" t="s">
        <v>573</v>
      </c>
      <c r="C307" s="248" t="s">
        <v>574</v>
      </c>
      <c r="D307" s="248" t="s">
        <v>512</v>
      </c>
      <c r="E307" s="248">
        <v>7633.0</v>
      </c>
      <c r="F307" s="256">
        <v>45541.0</v>
      </c>
      <c r="G307" s="248">
        <v>2024.0</v>
      </c>
      <c r="H307" s="248" t="s">
        <v>513</v>
      </c>
      <c r="I307" s="248" t="s">
        <v>514</v>
      </c>
      <c r="J307" s="248" t="s">
        <v>297</v>
      </c>
      <c r="K307" s="249" t="s">
        <v>66</v>
      </c>
      <c r="L307" s="257" t="s">
        <v>523</v>
      </c>
      <c r="M307" s="249"/>
      <c r="N307" s="249"/>
      <c r="O307" s="249"/>
      <c r="P307" s="249"/>
      <c r="Q307" s="249"/>
      <c r="R307" s="249"/>
      <c r="S307" s="249"/>
      <c r="T307" s="249"/>
      <c r="U307" s="249"/>
      <c r="V307" s="249"/>
    </row>
    <row r="308">
      <c r="A308" s="255" t="s">
        <v>1050</v>
      </c>
      <c r="B308" s="249"/>
      <c r="C308" s="248" t="e">
        <v>#N/A</v>
      </c>
      <c r="D308" s="248" t="s">
        <v>512</v>
      </c>
      <c r="E308" s="248">
        <v>56635.0</v>
      </c>
      <c r="F308" s="256">
        <v>45541.0</v>
      </c>
      <c r="G308" s="248">
        <v>2024.0</v>
      </c>
      <c r="H308" s="248" t="s">
        <v>513</v>
      </c>
      <c r="I308" s="248" t="s">
        <v>521</v>
      </c>
      <c r="J308" s="248" t="s">
        <v>297</v>
      </c>
      <c r="K308" s="249" t="s">
        <v>66</v>
      </c>
      <c r="L308" s="257" t="s">
        <v>523</v>
      </c>
      <c r="M308" s="249"/>
      <c r="N308" s="249"/>
      <c r="O308" s="249"/>
      <c r="P308" s="249"/>
      <c r="Q308" s="249"/>
      <c r="R308" s="249"/>
      <c r="S308" s="249"/>
      <c r="T308" s="249"/>
      <c r="U308" s="249"/>
      <c r="V308" s="249"/>
    </row>
    <row r="309">
      <c r="A309" s="255" t="s">
        <v>631</v>
      </c>
      <c r="B309" s="248" t="s">
        <v>530</v>
      </c>
      <c r="C309" s="248" t="s">
        <v>531</v>
      </c>
      <c r="D309" s="248" t="s">
        <v>512</v>
      </c>
      <c r="E309" s="248">
        <v>2334.0</v>
      </c>
      <c r="F309" s="256">
        <v>45540.0</v>
      </c>
      <c r="G309" s="248">
        <v>2024.0</v>
      </c>
      <c r="H309" s="248" t="s">
        <v>513</v>
      </c>
      <c r="I309" s="248" t="s">
        <v>514</v>
      </c>
      <c r="J309" s="248" t="s">
        <v>297</v>
      </c>
      <c r="K309" s="249" t="s">
        <v>66</v>
      </c>
      <c r="L309" s="257" t="s">
        <v>523</v>
      </c>
      <c r="M309" s="249"/>
      <c r="N309" s="249"/>
      <c r="O309" s="249"/>
      <c r="P309" s="249"/>
      <c r="Q309" s="249"/>
      <c r="R309" s="249"/>
      <c r="S309" s="249"/>
      <c r="T309" s="249"/>
      <c r="U309" s="249"/>
      <c r="V309" s="249"/>
    </row>
    <row r="310">
      <c r="A310" s="255" t="s">
        <v>1051</v>
      </c>
      <c r="B310" s="248" t="s">
        <v>573</v>
      </c>
      <c r="C310" s="248" t="s">
        <v>574</v>
      </c>
      <c r="D310" s="248" t="s">
        <v>512</v>
      </c>
      <c r="E310" s="248">
        <v>1864.0</v>
      </c>
      <c r="F310" s="256">
        <v>45539.0</v>
      </c>
      <c r="G310" s="248">
        <v>2024.0</v>
      </c>
      <c r="H310" s="248" t="s">
        <v>513</v>
      </c>
      <c r="I310" s="248" t="s">
        <v>514</v>
      </c>
      <c r="J310" s="248" t="s">
        <v>297</v>
      </c>
      <c r="K310" s="249" t="s">
        <v>66</v>
      </c>
      <c r="L310" s="257" t="s">
        <v>523</v>
      </c>
      <c r="M310" s="249"/>
      <c r="N310" s="249"/>
      <c r="O310" s="249"/>
      <c r="P310" s="249"/>
      <c r="Q310" s="249"/>
      <c r="R310" s="249"/>
      <c r="S310" s="249"/>
      <c r="T310" s="249"/>
      <c r="U310" s="249"/>
      <c r="V310" s="249"/>
    </row>
    <row r="311">
      <c r="A311" s="255" t="s">
        <v>1052</v>
      </c>
      <c r="B311" s="248" t="s">
        <v>705</v>
      </c>
      <c r="C311" s="248" t="s">
        <v>706</v>
      </c>
      <c r="D311" s="248" t="s">
        <v>512</v>
      </c>
      <c r="E311" s="248">
        <v>3092.0</v>
      </c>
      <c r="F311" s="256">
        <v>45538.0</v>
      </c>
      <c r="G311" s="248">
        <v>2024.0</v>
      </c>
      <c r="H311" s="248" t="s">
        <v>546</v>
      </c>
      <c r="I311" s="248" t="s">
        <v>547</v>
      </c>
      <c r="J311" s="248" t="s">
        <v>297</v>
      </c>
      <c r="K311" s="249" t="s">
        <v>66</v>
      </c>
      <c r="L311" s="257" t="s">
        <v>523</v>
      </c>
      <c r="M311" s="249"/>
      <c r="N311" s="249"/>
      <c r="O311" s="249"/>
      <c r="P311" s="249"/>
      <c r="Q311" s="249"/>
      <c r="R311" s="249"/>
      <c r="S311" s="249"/>
      <c r="T311" s="249"/>
      <c r="U311" s="249"/>
      <c r="V311" s="249"/>
    </row>
    <row r="312">
      <c r="A312" s="255" t="s">
        <v>1053</v>
      </c>
      <c r="B312" s="248" t="s">
        <v>534</v>
      </c>
      <c r="C312" s="248" t="s">
        <v>535</v>
      </c>
      <c r="D312" s="248" t="s">
        <v>520</v>
      </c>
      <c r="E312" s="248">
        <v>8039.0</v>
      </c>
      <c r="F312" s="256">
        <v>45538.0</v>
      </c>
      <c r="G312" s="248">
        <v>2024.0</v>
      </c>
      <c r="H312" s="248" t="s">
        <v>513</v>
      </c>
      <c r="I312" s="248" t="s">
        <v>521</v>
      </c>
      <c r="J312" s="248" t="s">
        <v>309</v>
      </c>
      <c r="K312" s="249" t="s">
        <v>66</v>
      </c>
      <c r="L312" s="257" t="s">
        <v>523</v>
      </c>
      <c r="M312" s="249"/>
      <c r="N312" s="249"/>
      <c r="O312" s="249"/>
      <c r="P312" s="249"/>
      <c r="Q312" s="249"/>
      <c r="R312" s="249"/>
      <c r="S312" s="249"/>
      <c r="T312" s="249"/>
      <c r="U312" s="249"/>
      <c r="V312" s="249"/>
    </row>
    <row r="313">
      <c r="A313" s="255" t="s">
        <v>1054</v>
      </c>
      <c r="B313" s="248" t="s">
        <v>698</v>
      </c>
      <c r="C313" s="248" t="s">
        <v>699</v>
      </c>
      <c r="D313" s="248" t="s">
        <v>575</v>
      </c>
      <c r="E313" s="248">
        <v>1017.0</v>
      </c>
      <c r="F313" s="256">
        <v>45534.0</v>
      </c>
      <c r="G313" s="248">
        <v>2024.0</v>
      </c>
      <c r="H313" s="248" t="s">
        <v>546</v>
      </c>
      <c r="I313" s="248" t="s">
        <v>514</v>
      </c>
      <c r="J313" s="248" t="s">
        <v>309</v>
      </c>
      <c r="K313" s="249" t="s">
        <v>66</v>
      </c>
      <c r="L313" s="257" t="s">
        <v>523</v>
      </c>
      <c r="M313" s="249"/>
      <c r="N313" s="249"/>
      <c r="O313" s="249"/>
      <c r="P313" s="249"/>
      <c r="Q313" s="249"/>
      <c r="R313" s="249"/>
      <c r="S313" s="249"/>
      <c r="T313" s="249"/>
      <c r="U313" s="249"/>
      <c r="V313" s="249"/>
    </row>
    <row r="314">
      <c r="A314" s="255" t="s">
        <v>1055</v>
      </c>
      <c r="B314" s="248" t="s">
        <v>553</v>
      </c>
      <c r="C314" s="248" t="s">
        <v>554</v>
      </c>
      <c r="D314" s="248" t="s">
        <v>512</v>
      </c>
      <c r="E314" s="248">
        <v>5207.0</v>
      </c>
      <c r="F314" s="256">
        <v>45534.0</v>
      </c>
      <c r="G314" s="248">
        <v>2024.0</v>
      </c>
      <c r="H314" s="248" t="s">
        <v>513</v>
      </c>
      <c r="I314" s="248" t="s">
        <v>514</v>
      </c>
      <c r="J314" s="248" t="s">
        <v>297</v>
      </c>
      <c r="K314" s="249" t="s">
        <v>66</v>
      </c>
      <c r="L314" s="257" t="s">
        <v>523</v>
      </c>
      <c r="M314" s="249"/>
      <c r="N314" s="249"/>
      <c r="O314" s="249"/>
      <c r="P314" s="249"/>
      <c r="Q314" s="249"/>
      <c r="R314" s="249"/>
      <c r="S314" s="249"/>
      <c r="T314" s="249"/>
      <c r="U314" s="249"/>
      <c r="V314" s="249"/>
    </row>
    <row r="315">
      <c r="A315" s="255" t="s">
        <v>1056</v>
      </c>
      <c r="B315" s="248" t="s">
        <v>530</v>
      </c>
      <c r="C315" s="248" t="s">
        <v>531</v>
      </c>
      <c r="D315" s="248" t="s">
        <v>512</v>
      </c>
      <c r="E315" s="248">
        <v>7168.0</v>
      </c>
      <c r="F315" s="256">
        <v>45534.0</v>
      </c>
      <c r="G315" s="248">
        <v>2024.0</v>
      </c>
      <c r="H315" s="248" t="s">
        <v>513</v>
      </c>
      <c r="I315" s="248" t="s">
        <v>514</v>
      </c>
      <c r="J315" s="248" t="s">
        <v>297</v>
      </c>
      <c r="K315" s="249" t="s">
        <v>66</v>
      </c>
      <c r="L315" s="257" t="s">
        <v>523</v>
      </c>
      <c r="M315" s="249"/>
      <c r="N315" s="249"/>
      <c r="O315" s="249"/>
      <c r="P315" s="249"/>
      <c r="Q315" s="249"/>
      <c r="R315" s="249"/>
      <c r="S315" s="249"/>
      <c r="T315" s="249"/>
      <c r="U315" s="249"/>
      <c r="V315" s="249"/>
    </row>
    <row r="316">
      <c r="A316" s="255" t="s">
        <v>1057</v>
      </c>
      <c r="B316" s="248" t="s">
        <v>641</v>
      </c>
      <c r="C316" s="248" t="s">
        <v>633</v>
      </c>
      <c r="D316" s="248" t="s">
        <v>512</v>
      </c>
      <c r="E316" s="248">
        <v>4329.0</v>
      </c>
      <c r="F316" s="256">
        <v>45534.0</v>
      </c>
      <c r="G316" s="248">
        <v>2024.0</v>
      </c>
      <c r="H316" s="248" t="s">
        <v>513</v>
      </c>
      <c r="I316" s="248" t="s">
        <v>521</v>
      </c>
      <c r="J316" s="248" t="s">
        <v>297</v>
      </c>
      <c r="K316" s="249" t="s">
        <v>66</v>
      </c>
      <c r="L316" s="257" t="s">
        <v>523</v>
      </c>
      <c r="M316" s="249"/>
      <c r="N316" s="249"/>
      <c r="O316" s="249"/>
      <c r="P316" s="249"/>
      <c r="Q316" s="249"/>
      <c r="R316" s="249"/>
      <c r="S316" s="249"/>
      <c r="T316" s="249"/>
      <c r="U316" s="249"/>
      <c r="V316" s="249"/>
    </row>
    <row r="317">
      <c r="A317" s="255" t="s">
        <v>1058</v>
      </c>
      <c r="B317" s="248" t="s">
        <v>586</v>
      </c>
      <c r="C317" s="248" t="s">
        <v>587</v>
      </c>
      <c r="D317" s="248" t="s">
        <v>512</v>
      </c>
      <c r="E317" s="248">
        <v>182670.0</v>
      </c>
      <c r="F317" s="256">
        <v>45534.0</v>
      </c>
      <c r="G317" s="248">
        <v>2024.0</v>
      </c>
      <c r="H317" s="248" t="s">
        <v>513</v>
      </c>
      <c r="I317" s="248" t="s">
        <v>514</v>
      </c>
      <c r="J317" s="248" t="s">
        <v>297</v>
      </c>
      <c r="K317" s="249" t="s">
        <v>66</v>
      </c>
      <c r="L317" s="257" t="s">
        <v>523</v>
      </c>
      <c r="M317" s="249"/>
      <c r="N317" s="249"/>
      <c r="O317" s="249"/>
      <c r="P317" s="249"/>
      <c r="Q317" s="249"/>
      <c r="R317" s="249"/>
      <c r="S317" s="249"/>
      <c r="T317" s="249"/>
      <c r="U317" s="249"/>
      <c r="V317" s="249"/>
    </row>
    <row r="318">
      <c r="A318" s="255" t="s">
        <v>1059</v>
      </c>
      <c r="B318" s="248" t="s">
        <v>845</v>
      </c>
      <c r="C318" s="248" t="s">
        <v>733</v>
      </c>
      <c r="D318" s="248" t="s">
        <v>512</v>
      </c>
      <c r="E318" s="248">
        <v>7170.0</v>
      </c>
      <c r="F318" s="256">
        <v>45533.0</v>
      </c>
      <c r="G318" s="248">
        <v>2024.0</v>
      </c>
      <c r="H318" s="248" t="s">
        <v>513</v>
      </c>
      <c r="I318" s="248" t="s">
        <v>521</v>
      </c>
      <c r="J318" s="248" t="s">
        <v>297</v>
      </c>
      <c r="K318" s="249" t="s">
        <v>66</v>
      </c>
      <c r="L318" s="257" t="s">
        <v>523</v>
      </c>
      <c r="M318" s="249"/>
      <c r="N318" s="249"/>
      <c r="O318" s="249"/>
      <c r="P318" s="249"/>
      <c r="Q318" s="249"/>
      <c r="R318" s="249"/>
      <c r="S318" s="249"/>
      <c r="T318" s="249"/>
      <c r="U318" s="249"/>
      <c r="V318" s="249"/>
    </row>
    <row r="319">
      <c r="A319" s="255" t="s">
        <v>1060</v>
      </c>
      <c r="B319" s="248" t="s">
        <v>705</v>
      </c>
      <c r="C319" s="248" t="s">
        <v>706</v>
      </c>
      <c r="D319" s="248" t="s">
        <v>520</v>
      </c>
      <c r="E319" s="248">
        <v>9103.0</v>
      </c>
      <c r="F319" s="256">
        <v>45532.0</v>
      </c>
      <c r="G319" s="248">
        <v>2024.0</v>
      </c>
      <c r="H319" s="248" t="s">
        <v>513</v>
      </c>
      <c r="I319" s="248" t="s">
        <v>514</v>
      </c>
      <c r="J319" s="248" t="s">
        <v>309</v>
      </c>
      <c r="K319" s="249" t="s">
        <v>66</v>
      </c>
      <c r="L319" s="257" t="s">
        <v>523</v>
      </c>
      <c r="M319" s="249"/>
      <c r="N319" s="249"/>
      <c r="O319" s="249"/>
      <c r="P319" s="249"/>
      <c r="Q319" s="249"/>
      <c r="R319" s="249"/>
      <c r="S319" s="249"/>
      <c r="T319" s="249"/>
      <c r="U319" s="249"/>
      <c r="V319" s="249"/>
    </row>
    <row r="320">
      <c r="A320" s="255" t="s">
        <v>1061</v>
      </c>
      <c r="B320" s="248" t="s">
        <v>786</v>
      </c>
      <c r="C320" s="248" t="s">
        <v>717</v>
      </c>
      <c r="D320" s="248" t="s">
        <v>512</v>
      </c>
      <c r="E320" s="248">
        <v>9592.0</v>
      </c>
      <c r="F320" s="256">
        <v>45531.0</v>
      </c>
      <c r="G320" s="248">
        <v>2024.0</v>
      </c>
      <c r="H320" s="248" t="s">
        <v>513</v>
      </c>
      <c r="I320" s="248" t="s">
        <v>514</v>
      </c>
      <c r="J320" s="248" t="s">
        <v>297</v>
      </c>
      <c r="K320" s="249" t="s">
        <v>66</v>
      </c>
      <c r="L320" s="257" t="s">
        <v>523</v>
      </c>
      <c r="M320" s="249"/>
      <c r="N320" s="249"/>
      <c r="O320" s="249"/>
      <c r="P320" s="249"/>
      <c r="Q320" s="249"/>
      <c r="R320" s="249"/>
      <c r="S320" s="249"/>
      <c r="T320" s="249"/>
      <c r="U320" s="249"/>
      <c r="V320" s="249"/>
    </row>
    <row r="321">
      <c r="A321" s="255" t="s">
        <v>1062</v>
      </c>
      <c r="B321" s="248" t="s">
        <v>1063</v>
      </c>
      <c r="C321" s="248" t="s">
        <v>759</v>
      </c>
      <c r="D321" s="248" t="s">
        <v>512</v>
      </c>
      <c r="E321" s="248">
        <v>4125.0</v>
      </c>
      <c r="F321" s="256">
        <v>45530.0</v>
      </c>
      <c r="G321" s="248">
        <v>2024.0</v>
      </c>
      <c r="H321" s="248" t="s">
        <v>546</v>
      </c>
      <c r="I321" s="248" t="s">
        <v>547</v>
      </c>
      <c r="J321" s="248" t="s">
        <v>297</v>
      </c>
      <c r="K321" s="249" t="s">
        <v>66</v>
      </c>
      <c r="L321" s="257" t="s">
        <v>523</v>
      </c>
      <c r="M321" s="249"/>
      <c r="N321" s="249"/>
      <c r="O321" s="249"/>
      <c r="P321" s="249"/>
      <c r="Q321" s="249"/>
      <c r="R321" s="249"/>
      <c r="S321" s="249"/>
      <c r="T321" s="249"/>
      <c r="U321" s="249"/>
      <c r="V321" s="249"/>
    </row>
    <row r="322">
      <c r="A322" s="255" t="s">
        <v>1064</v>
      </c>
      <c r="B322" s="248" t="s">
        <v>748</v>
      </c>
      <c r="C322" s="248" t="s">
        <v>694</v>
      </c>
      <c r="D322" s="248" t="s">
        <v>512</v>
      </c>
      <c r="E322" s="248">
        <v>1381.0</v>
      </c>
      <c r="F322" s="256">
        <v>45530.0</v>
      </c>
      <c r="G322" s="248">
        <v>2024.0</v>
      </c>
      <c r="H322" s="248" t="s">
        <v>513</v>
      </c>
      <c r="I322" s="248" t="s">
        <v>521</v>
      </c>
      <c r="J322" s="248" t="s">
        <v>297</v>
      </c>
      <c r="K322" s="249" t="s">
        <v>66</v>
      </c>
      <c r="L322" s="257" t="s">
        <v>523</v>
      </c>
      <c r="M322" s="249"/>
      <c r="N322" s="249"/>
      <c r="O322" s="249"/>
      <c r="P322" s="249"/>
      <c r="Q322" s="249"/>
      <c r="R322" s="249"/>
      <c r="S322" s="249"/>
      <c r="T322" s="249"/>
      <c r="U322" s="249"/>
      <c r="V322" s="249"/>
    </row>
    <row r="323">
      <c r="A323" s="255" t="s">
        <v>1065</v>
      </c>
      <c r="B323" s="248" t="s">
        <v>542</v>
      </c>
      <c r="C323" s="248" t="s">
        <v>543</v>
      </c>
      <c r="D323" s="248" t="s">
        <v>512</v>
      </c>
      <c r="E323" s="248">
        <v>729699.0</v>
      </c>
      <c r="F323" s="256">
        <v>45527.0</v>
      </c>
      <c r="G323" s="248">
        <v>2024.0</v>
      </c>
      <c r="H323" s="248" t="s">
        <v>513</v>
      </c>
      <c r="I323" s="248" t="s">
        <v>514</v>
      </c>
      <c r="J323" s="248" t="s">
        <v>297</v>
      </c>
      <c r="K323" s="249" t="s">
        <v>66</v>
      </c>
      <c r="L323" s="257" t="s">
        <v>523</v>
      </c>
      <c r="M323" s="249"/>
      <c r="N323" s="249"/>
      <c r="O323" s="249"/>
      <c r="P323" s="249"/>
      <c r="Q323" s="249"/>
      <c r="R323" s="249"/>
      <c r="S323" s="249"/>
      <c r="T323" s="249"/>
      <c r="U323" s="249"/>
      <c r="V323" s="249"/>
    </row>
    <row r="324">
      <c r="A324" s="255" t="s">
        <v>1066</v>
      </c>
      <c r="B324" s="248" t="s">
        <v>530</v>
      </c>
      <c r="C324" s="248" t="s">
        <v>531</v>
      </c>
      <c r="D324" s="248" t="s">
        <v>512</v>
      </c>
      <c r="E324" s="248">
        <v>40964.0</v>
      </c>
      <c r="F324" s="256">
        <v>45525.0</v>
      </c>
      <c r="G324" s="248">
        <v>2024.0</v>
      </c>
      <c r="H324" s="248" t="s">
        <v>513</v>
      </c>
      <c r="I324" s="248" t="s">
        <v>514</v>
      </c>
      <c r="J324" s="248" t="s">
        <v>297</v>
      </c>
      <c r="K324" s="249" t="s">
        <v>66</v>
      </c>
      <c r="L324" s="257" t="s">
        <v>523</v>
      </c>
      <c r="M324" s="249"/>
      <c r="N324" s="249"/>
      <c r="O324" s="249"/>
      <c r="P324" s="249"/>
      <c r="Q324" s="249"/>
      <c r="R324" s="249"/>
      <c r="S324" s="249"/>
      <c r="T324" s="249"/>
      <c r="U324" s="249"/>
      <c r="V324" s="249"/>
    </row>
    <row r="325">
      <c r="A325" s="255" t="s">
        <v>1067</v>
      </c>
      <c r="B325" s="248" t="s">
        <v>573</v>
      </c>
      <c r="C325" s="248" t="s">
        <v>574</v>
      </c>
      <c r="D325" s="248" t="s">
        <v>512</v>
      </c>
      <c r="E325" s="248">
        <v>292913.0</v>
      </c>
      <c r="F325" s="256">
        <v>45525.0</v>
      </c>
      <c r="G325" s="248">
        <v>2024.0</v>
      </c>
      <c r="H325" s="248" t="s">
        <v>513</v>
      </c>
      <c r="I325" s="248" t="s">
        <v>514</v>
      </c>
      <c r="J325" s="248" t="s">
        <v>297</v>
      </c>
      <c r="K325" s="249" t="s">
        <v>66</v>
      </c>
      <c r="L325" s="257" t="s">
        <v>523</v>
      </c>
      <c r="M325" s="249"/>
      <c r="N325" s="249"/>
      <c r="O325" s="249"/>
      <c r="P325" s="249"/>
      <c r="Q325" s="249"/>
      <c r="R325" s="249"/>
      <c r="S325" s="249"/>
      <c r="T325" s="249"/>
      <c r="U325" s="249"/>
      <c r="V325" s="249"/>
    </row>
    <row r="326">
      <c r="A326" s="255" t="s">
        <v>1068</v>
      </c>
      <c r="B326" s="248" t="s">
        <v>679</v>
      </c>
      <c r="C326" s="248" t="s">
        <v>663</v>
      </c>
      <c r="D326" s="248" t="s">
        <v>520</v>
      </c>
      <c r="E326" s="248">
        <v>112726.0</v>
      </c>
      <c r="F326" s="256">
        <v>45524.0</v>
      </c>
      <c r="G326" s="248">
        <v>2024.0</v>
      </c>
      <c r="H326" s="248" t="s">
        <v>513</v>
      </c>
      <c r="I326" s="248" t="s">
        <v>514</v>
      </c>
      <c r="J326" s="248" t="s">
        <v>309</v>
      </c>
      <c r="K326" s="249" t="s">
        <v>66</v>
      </c>
      <c r="L326" s="257" t="s">
        <v>523</v>
      </c>
      <c r="M326" s="249"/>
      <c r="N326" s="249"/>
      <c r="O326" s="249"/>
      <c r="P326" s="249"/>
      <c r="Q326" s="249"/>
      <c r="R326" s="249"/>
      <c r="S326" s="249"/>
      <c r="T326" s="249"/>
      <c r="U326" s="249"/>
      <c r="V326" s="249"/>
    </row>
    <row r="327">
      <c r="A327" s="255" t="s">
        <v>1069</v>
      </c>
      <c r="B327" s="248" t="s">
        <v>1070</v>
      </c>
      <c r="C327" s="248" t="s">
        <v>652</v>
      </c>
      <c r="D327" s="248" t="s">
        <v>512</v>
      </c>
      <c r="E327" s="248">
        <v>2896985.0</v>
      </c>
      <c r="F327" s="256">
        <v>45524.0</v>
      </c>
      <c r="G327" s="248">
        <v>2024.0</v>
      </c>
      <c r="H327" s="248" t="s">
        <v>513</v>
      </c>
      <c r="I327" s="248" t="s">
        <v>514</v>
      </c>
      <c r="J327" s="248" t="s">
        <v>297</v>
      </c>
      <c r="K327" s="249" t="s">
        <v>66</v>
      </c>
      <c r="L327" s="257" t="s">
        <v>523</v>
      </c>
      <c r="M327" s="249"/>
      <c r="N327" s="249"/>
      <c r="O327" s="249"/>
      <c r="P327" s="249"/>
      <c r="Q327" s="249"/>
      <c r="R327" s="249"/>
      <c r="S327" s="249"/>
      <c r="T327" s="249"/>
      <c r="U327" s="249"/>
      <c r="V327" s="249"/>
    </row>
    <row r="328">
      <c r="A328" s="255" t="s">
        <v>1071</v>
      </c>
      <c r="B328" s="248" t="s">
        <v>679</v>
      </c>
      <c r="C328" s="248" t="s">
        <v>663</v>
      </c>
      <c r="D328" s="248" t="s">
        <v>512</v>
      </c>
      <c r="E328" s="248">
        <v>27329.0</v>
      </c>
      <c r="F328" s="256">
        <v>45524.0</v>
      </c>
      <c r="G328" s="248">
        <v>2024.0</v>
      </c>
      <c r="H328" s="248" t="s">
        <v>546</v>
      </c>
      <c r="I328" s="248" t="s">
        <v>514</v>
      </c>
      <c r="J328" s="248" t="s">
        <v>297</v>
      </c>
      <c r="K328" s="249" t="s">
        <v>66</v>
      </c>
      <c r="L328" s="257" t="s">
        <v>523</v>
      </c>
      <c r="M328" s="249"/>
      <c r="N328" s="249"/>
      <c r="O328" s="249"/>
      <c r="P328" s="249"/>
      <c r="Q328" s="249"/>
      <c r="R328" s="249"/>
      <c r="S328" s="249"/>
      <c r="T328" s="249"/>
      <c r="U328" s="249"/>
      <c r="V328" s="249"/>
    </row>
    <row r="329">
      <c r="A329" s="255" t="s">
        <v>1072</v>
      </c>
      <c r="B329" s="248" t="s">
        <v>611</v>
      </c>
      <c r="C329" s="248" t="s">
        <v>612</v>
      </c>
      <c r="D329" s="248" t="s">
        <v>512</v>
      </c>
      <c r="E329" s="248">
        <v>2815.0</v>
      </c>
      <c r="F329" s="256">
        <v>45523.0</v>
      </c>
      <c r="G329" s="248">
        <v>2024.0</v>
      </c>
      <c r="H329" s="248" t="s">
        <v>513</v>
      </c>
      <c r="I329" s="248" t="s">
        <v>521</v>
      </c>
      <c r="J329" s="248" t="s">
        <v>297</v>
      </c>
      <c r="K329" s="249" t="s">
        <v>66</v>
      </c>
      <c r="L329" s="257" t="s">
        <v>523</v>
      </c>
      <c r="M329" s="249"/>
      <c r="N329" s="249"/>
      <c r="O329" s="249"/>
      <c r="P329" s="249"/>
      <c r="Q329" s="249"/>
      <c r="R329" s="249"/>
      <c r="S329" s="249"/>
      <c r="T329" s="249"/>
      <c r="U329" s="249"/>
      <c r="V329" s="249"/>
    </row>
    <row r="330">
      <c r="A330" s="255" t="s">
        <v>1073</v>
      </c>
      <c r="B330" s="248" t="s">
        <v>534</v>
      </c>
      <c r="C330" s="248" t="s">
        <v>535</v>
      </c>
      <c r="D330" s="248" t="s">
        <v>512</v>
      </c>
      <c r="E330" s="248">
        <v>46354.0</v>
      </c>
      <c r="F330" s="256">
        <v>45523.0</v>
      </c>
      <c r="G330" s="248">
        <v>2024.0</v>
      </c>
      <c r="H330" s="248" t="s">
        <v>513</v>
      </c>
      <c r="I330" s="248" t="s">
        <v>514</v>
      </c>
      <c r="J330" s="248" t="s">
        <v>297</v>
      </c>
      <c r="K330" s="249" t="s">
        <v>66</v>
      </c>
      <c r="L330" s="257" t="s">
        <v>523</v>
      </c>
      <c r="M330" s="249"/>
      <c r="N330" s="249"/>
      <c r="O330" s="249"/>
      <c r="P330" s="249"/>
      <c r="Q330" s="249"/>
      <c r="R330" s="249"/>
      <c r="S330" s="249"/>
      <c r="T330" s="249"/>
      <c r="U330" s="249"/>
      <c r="V330" s="249"/>
    </row>
    <row r="331">
      <c r="A331" s="255" t="s">
        <v>1074</v>
      </c>
      <c r="B331" s="248" t="s">
        <v>595</v>
      </c>
      <c r="C331" s="248" t="s">
        <v>596</v>
      </c>
      <c r="D331" s="248" t="s">
        <v>512</v>
      </c>
      <c r="E331" s="248">
        <v>4435.0</v>
      </c>
      <c r="F331" s="256">
        <v>45523.0</v>
      </c>
      <c r="G331" s="248">
        <v>2024.0</v>
      </c>
      <c r="H331" s="248" t="s">
        <v>513</v>
      </c>
      <c r="I331" s="248" t="s">
        <v>521</v>
      </c>
      <c r="J331" s="248" t="s">
        <v>297</v>
      </c>
      <c r="K331" s="249" t="s">
        <v>66</v>
      </c>
      <c r="L331" s="257" t="s">
        <v>523</v>
      </c>
      <c r="M331" s="249"/>
      <c r="N331" s="249"/>
      <c r="O331" s="249"/>
      <c r="P331" s="249"/>
      <c r="Q331" s="249"/>
      <c r="R331" s="249"/>
      <c r="S331" s="249"/>
      <c r="T331" s="249"/>
      <c r="U331" s="249"/>
      <c r="V331" s="249"/>
    </row>
    <row r="332">
      <c r="A332" s="255" t="s">
        <v>1075</v>
      </c>
      <c r="B332" s="248" t="s">
        <v>586</v>
      </c>
      <c r="C332" s="248" t="s">
        <v>587</v>
      </c>
      <c r="D332" s="248" t="s">
        <v>512</v>
      </c>
      <c r="E332" s="248">
        <v>26744.0</v>
      </c>
      <c r="F332" s="256">
        <v>45522.0</v>
      </c>
      <c r="G332" s="248">
        <v>2024.0</v>
      </c>
      <c r="H332" s="248" t="s">
        <v>513</v>
      </c>
      <c r="I332" s="248" t="s">
        <v>514</v>
      </c>
      <c r="J332" s="248" t="s">
        <v>309</v>
      </c>
      <c r="K332" s="249" t="s">
        <v>66</v>
      </c>
      <c r="L332" s="257" t="s">
        <v>523</v>
      </c>
      <c r="M332" s="249"/>
      <c r="N332" s="249"/>
      <c r="O332" s="249"/>
      <c r="P332" s="249"/>
      <c r="Q332" s="249"/>
      <c r="R332" s="249"/>
      <c r="S332" s="249"/>
      <c r="T332" s="249"/>
      <c r="U332" s="249"/>
      <c r="V332" s="249"/>
    </row>
    <row r="333">
      <c r="A333" s="255" t="s">
        <v>1076</v>
      </c>
      <c r="B333" s="248" t="s">
        <v>586</v>
      </c>
      <c r="C333" s="248" t="s">
        <v>587</v>
      </c>
      <c r="D333" s="248" t="s">
        <v>520</v>
      </c>
      <c r="E333" s="248">
        <v>134918.0</v>
      </c>
      <c r="F333" s="256">
        <v>45520.0</v>
      </c>
      <c r="G333" s="248">
        <v>2024.0</v>
      </c>
      <c r="H333" s="248" t="s">
        <v>513</v>
      </c>
      <c r="I333" s="248" t="s">
        <v>514</v>
      </c>
      <c r="J333" s="248" t="s">
        <v>309</v>
      </c>
      <c r="K333" s="249" t="s">
        <v>66</v>
      </c>
      <c r="L333" s="257" t="s">
        <v>523</v>
      </c>
      <c r="M333" s="249"/>
      <c r="N333" s="249"/>
      <c r="O333" s="249"/>
      <c r="P333" s="249"/>
      <c r="Q333" s="249"/>
      <c r="R333" s="249"/>
      <c r="S333" s="249"/>
      <c r="T333" s="249"/>
      <c r="U333" s="249"/>
      <c r="V333" s="249"/>
    </row>
    <row r="334">
      <c r="A334" s="255" t="s">
        <v>1077</v>
      </c>
      <c r="B334" s="248" t="s">
        <v>75</v>
      </c>
      <c r="C334" s="248" t="s">
        <v>675</v>
      </c>
      <c r="D334" s="248" t="s">
        <v>520</v>
      </c>
      <c r="E334" s="248">
        <v>411037.0</v>
      </c>
      <c r="F334" s="256">
        <v>45519.0</v>
      </c>
      <c r="G334" s="248">
        <v>2024.0</v>
      </c>
      <c r="H334" s="248" t="s">
        <v>513</v>
      </c>
      <c r="I334" s="248" t="s">
        <v>514</v>
      </c>
      <c r="J334" s="248" t="s">
        <v>309</v>
      </c>
      <c r="K334" s="249" t="s">
        <v>66</v>
      </c>
      <c r="L334" s="257" t="s">
        <v>523</v>
      </c>
      <c r="M334" s="249"/>
      <c r="N334" s="249"/>
      <c r="O334" s="249"/>
      <c r="P334" s="249"/>
      <c r="Q334" s="249"/>
      <c r="R334" s="249"/>
      <c r="S334" s="249"/>
      <c r="T334" s="249"/>
      <c r="U334" s="249"/>
      <c r="V334" s="249"/>
    </row>
    <row r="335">
      <c r="A335" s="255" t="s">
        <v>1078</v>
      </c>
      <c r="B335" s="248" t="s">
        <v>705</v>
      </c>
      <c r="C335" s="248" t="s">
        <v>706</v>
      </c>
      <c r="D335" s="248" t="s">
        <v>512</v>
      </c>
      <c r="E335" s="248">
        <v>64609.0</v>
      </c>
      <c r="F335" s="256">
        <v>45519.0</v>
      </c>
      <c r="G335" s="248">
        <v>2024.0</v>
      </c>
      <c r="H335" s="248" t="s">
        <v>513</v>
      </c>
      <c r="I335" s="248" t="s">
        <v>514</v>
      </c>
      <c r="J335" s="248" t="s">
        <v>297</v>
      </c>
      <c r="K335" s="249" t="s">
        <v>66</v>
      </c>
      <c r="L335" s="257" t="s">
        <v>523</v>
      </c>
      <c r="M335" s="249"/>
      <c r="N335" s="249"/>
      <c r="O335" s="249"/>
      <c r="P335" s="249"/>
      <c r="Q335" s="249"/>
      <c r="R335" s="249"/>
      <c r="S335" s="249"/>
      <c r="T335" s="249"/>
      <c r="U335" s="249"/>
      <c r="V335" s="249"/>
    </row>
    <row r="336">
      <c r="A336" s="255" t="s">
        <v>1079</v>
      </c>
      <c r="B336" s="248" t="s">
        <v>586</v>
      </c>
      <c r="C336" s="248" t="s">
        <v>587</v>
      </c>
      <c r="D336" s="248" t="s">
        <v>512</v>
      </c>
      <c r="E336" s="248">
        <v>25093.0</v>
      </c>
      <c r="F336" s="256">
        <v>45519.0</v>
      </c>
      <c r="G336" s="248">
        <v>2024.0</v>
      </c>
      <c r="H336" s="248" t="s">
        <v>513</v>
      </c>
      <c r="I336" s="248" t="s">
        <v>514</v>
      </c>
      <c r="J336" s="248" t="s">
        <v>297</v>
      </c>
      <c r="K336" s="249" t="s">
        <v>66</v>
      </c>
      <c r="L336" s="257" t="s">
        <v>523</v>
      </c>
      <c r="M336" s="249"/>
      <c r="N336" s="249"/>
      <c r="O336" s="249"/>
      <c r="P336" s="249"/>
      <c r="Q336" s="249"/>
      <c r="R336" s="249"/>
      <c r="S336" s="249"/>
      <c r="T336" s="249"/>
      <c r="U336" s="249"/>
      <c r="V336" s="249"/>
    </row>
    <row r="337">
      <c r="A337" s="255" t="s">
        <v>1080</v>
      </c>
      <c r="B337" s="248" t="s">
        <v>810</v>
      </c>
      <c r="C337" s="248" t="s">
        <v>655</v>
      </c>
      <c r="D337" s="248" t="s">
        <v>520</v>
      </c>
      <c r="E337" s="248">
        <v>10704.0</v>
      </c>
      <c r="F337" s="256">
        <v>45518.0</v>
      </c>
      <c r="G337" s="248">
        <v>2024.0</v>
      </c>
      <c r="H337" s="248" t="s">
        <v>513</v>
      </c>
      <c r="I337" s="248" t="s">
        <v>514</v>
      </c>
      <c r="J337" s="248" t="s">
        <v>309</v>
      </c>
      <c r="K337" s="249" t="s">
        <v>66</v>
      </c>
      <c r="L337" s="257" t="s">
        <v>523</v>
      </c>
      <c r="M337" s="249"/>
      <c r="N337" s="249"/>
      <c r="O337" s="249"/>
      <c r="P337" s="249"/>
      <c r="Q337" s="249"/>
      <c r="R337" s="249"/>
      <c r="S337" s="249"/>
      <c r="T337" s="249"/>
      <c r="U337" s="249"/>
      <c r="V337" s="249"/>
    </row>
    <row r="338">
      <c r="A338" s="255" t="s">
        <v>1081</v>
      </c>
      <c r="B338" s="248" t="s">
        <v>542</v>
      </c>
      <c r="C338" s="248" t="s">
        <v>543</v>
      </c>
      <c r="D338" s="248" t="s">
        <v>512</v>
      </c>
      <c r="E338" s="248">
        <v>41662.0</v>
      </c>
      <c r="F338" s="256">
        <v>45513.0</v>
      </c>
      <c r="G338" s="248">
        <v>2024.0</v>
      </c>
      <c r="H338" s="248" t="s">
        <v>513</v>
      </c>
      <c r="I338" s="248" t="s">
        <v>514</v>
      </c>
      <c r="J338" s="248" t="s">
        <v>297</v>
      </c>
      <c r="K338" s="249" t="s">
        <v>66</v>
      </c>
      <c r="L338" s="257" t="s">
        <v>523</v>
      </c>
      <c r="M338" s="249"/>
      <c r="N338" s="249"/>
      <c r="O338" s="249"/>
      <c r="P338" s="249"/>
      <c r="Q338" s="249"/>
      <c r="R338" s="249"/>
      <c r="S338" s="249"/>
      <c r="T338" s="249"/>
      <c r="U338" s="249"/>
      <c r="V338" s="249"/>
    </row>
    <row r="339">
      <c r="A339" s="255" t="s">
        <v>893</v>
      </c>
      <c r="B339" s="248" t="s">
        <v>894</v>
      </c>
      <c r="C339" s="248" t="s">
        <v>639</v>
      </c>
      <c r="D339" s="248" t="s">
        <v>520</v>
      </c>
      <c r="E339" s="248">
        <v>4300000.0</v>
      </c>
      <c r="F339" s="256">
        <v>45513.0</v>
      </c>
      <c r="G339" s="248">
        <v>2024.0</v>
      </c>
      <c r="H339" s="248" t="s">
        <v>513</v>
      </c>
      <c r="I339" s="248" t="s">
        <v>514</v>
      </c>
      <c r="J339" s="248" t="s">
        <v>309</v>
      </c>
      <c r="K339" s="249" t="s">
        <v>66</v>
      </c>
      <c r="L339" s="257" t="s">
        <v>523</v>
      </c>
      <c r="M339" s="249"/>
      <c r="N339" s="249"/>
      <c r="O339" s="249"/>
      <c r="P339" s="249"/>
      <c r="Q339" s="249"/>
      <c r="R339" s="249"/>
      <c r="S339" s="249"/>
      <c r="T339" s="249"/>
      <c r="U339" s="249"/>
      <c r="V339" s="249"/>
    </row>
    <row r="340">
      <c r="A340" s="255" t="s">
        <v>1082</v>
      </c>
      <c r="B340" s="248" t="s">
        <v>573</v>
      </c>
      <c r="C340" s="248" t="s">
        <v>574</v>
      </c>
      <c r="D340" s="248" t="s">
        <v>512</v>
      </c>
      <c r="E340" s="248">
        <v>50554.0</v>
      </c>
      <c r="F340" s="256">
        <v>45513.0</v>
      </c>
      <c r="G340" s="248">
        <v>2024.0</v>
      </c>
      <c r="H340" s="248" t="s">
        <v>513</v>
      </c>
      <c r="I340" s="248" t="s">
        <v>514</v>
      </c>
      <c r="J340" s="248" t="s">
        <v>297</v>
      </c>
      <c r="K340" s="249" t="s">
        <v>66</v>
      </c>
      <c r="L340" s="257" t="s">
        <v>523</v>
      </c>
      <c r="M340" s="249"/>
      <c r="N340" s="249"/>
      <c r="O340" s="249"/>
      <c r="P340" s="249"/>
      <c r="Q340" s="249"/>
      <c r="R340" s="249"/>
      <c r="S340" s="249"/>
      <c r="T340" s="249"/>
      <c r="U340" s="249"/>
      <c r="V340" s="249"/>
    </row>
    <row r="341">
      <c r="A341" s="255" t="s">
        <v>1083</v>
      </c>
      <c r="B341" s="248" t="s">
        <v>641</v>
      </c>
      <c r="C341" s="248" t="s">
        <v>633</v>
      </c>
      <c r="D341" s="248" t="s">
        <v>512</v>
      </c>
      <c r="E341" s="248">
        <v>38442.0</v>
      </c>
      <c r="F341" s="256">
        <v>45513.0</v>
      </c>
      <c r="G341" s="248">
        <v>2024.0</v>
      </c>
      <c r="H341" s="248" t="s">
        <v>513</v>
      </c>
      <c r="I341" s="248" t="s">
        <v>521</v>
      </c>
      <c r="J341" s="248" t="s">
        <v>297</v>
      </c>
      <c r="K341" s="249" t="s">
        <v>66</v>
      </c>
      <c r="L341" s="257" t="s">
        <v>523</v>
      </c>
      <c r="M341" s="249"/>
      <c r="N341" s="249"/>
      <c r="O341" s="249"/>
      <c r="P341" s="249"/>
      <c r="Q341" s="249"/>
      <c r="R341" s="249"/>
      <c r="S341" s="249"/>
      <c r="T341" s="249"/>
      <c r="U341" s="249"/>
      <c r="V341" s="249"/>
    </row>
    <row r="342">
      <c r="A342" s="255" t="s">
        <v>1084</v>
      </c>
      <c r="B342" s="248" t="s">
        <v>641</v>
      </c>
      <c r="C342" s="248" t="s">
        <v>633</v>
      </c>
      <c r="D342" s="248" t="s">
        <v>512</v>
      </c>
      <c r="E342" s="248">
        <v>1894.0</v>
      </c>
      <c r="F342" s="256">
        <v>45513.0</v>
      </c>
      <c r="G342" s="248">
        <v>2024.0</v>
      </c>
      <c r="H342" s="248" t="s">
        <v>513</v>
      </c>
      <c r="I342" s="248" t="s">
        <v>521</v>
      </c>
      <c r="J342" s="248" t="s">
        <v>297</v>
      </c>
      <c r="K342" s="249" t="s">
        <v>66</v>
      </c>
      <c r="L342" s="257" t="s">
        <v>523</v>
      </c>
      <c r="M342" s="249"/>
      <c r="N342" s="249"/>
      <c r="O342" s="249"/>
      <c r="P342" s="249"/>
      <c r="Q342" s="249"/>
      <c r="R342" s="249"/>
      <c r="S342" s="249"/>
      <c r="T342" s="249"/>
      <c r="U342" s="249"/>
      <c r="V342" s="249"/>
    </row>
    <row r="343">
      <c r="A343" s="255" t="s">
        <v>1085</v>
      </c>
      <c r="B343" s="248" t="s">
        <v>641</v>
      </c>
      <c r="C343" s="248" t="s">
        <v>633</v>
      </c>
      <c r="D343" s="248" t="s">
        <v>512</v>
      </c>
      <c r="E343" s="248">
        <v>238667.0</v>
      </c>
      <c r="F343" s="256">
        <v>45513.0</v>
      </c>
      <c r="G343" s="248">
        <v>2024.0</v>
      </c>
      <c r="H343" s="248" t="s">
        <v>513</v>
      </c>
      <c r="I343" s="248" t="s">
        <v>521</v>
      </c>
      <c r="J343" s="248" t="s">
        <v>297</v>
      </c>
      <c r="K343" s="249" t="s">
        <v>66</v>
      </c>
      <c r="L343" s="257" t="s">
        <v>523</v>
      </c>
      <c r="M343" s="249"/>
      <c r="N343" s="249"/>
      <c r="O343" s="249"/>
      <c r="P343" s="249"/>
      <c r="Q343" s="249"/>
      <c r="R343" s="249"/>
      <c r="S343" s="249"/>
      <c r="T343" s="249"/>
      <c r="U343" s="249"/>
      <c r="V343" s="249"/>
    </row>
    <row r="344">
      <c r="A344" s="255" t="s">
        <v>1086</v>
      </c>
      <c r="B344" s="248" t="s">
        <v>878</v>
      </c>
      <c r="C344" s="248" t="s">
        <v>643</v>
      </c>
      <c r="D344" s="248" t="s">
        <v>512</v>
      </c>
      <c r="E344" s="248">
        <v>33279.0</v>
      </c>
      <c r="F344" s="256">
        <v>45513.0</v>
      </c>
      <c r="G344" s="248">
        <v>2024.0</v>
      </c>
      <c r="H344" s="248" t="s">
        <v>546</v>
      </c>
      <c r="I344" s="248" t="s">
        <v>561</v>
      </c>
      <c r="J344" s="248" t="s">
        <v>297</v>
      </c>
      <c r="K344" s="249" t="s">
        <v>66</v>
      </c>
      <c r="L344" s="257" t="s">
        <v>523</v>
      </c>
      <c r="M344" s="249"/>
      <c r="N344" s="249"/>
      <c r="O344" s="249"/>
      <c r="P344" s="249"/>
      <c r="Q344" s="249"/>
      <c r="R344" s="249"/>
      <c r="S344" s="249"/>
      <c r="T344" s="249"/>
      <c r="U344" s="249"/>
      <c r="V344" s="249"/>
    </row>
    <row r="345">
      <c r="A345" s="255" t="s">
        <v>1087</v>
      </c>
      <c r="B345" s="248" t="s">
        <v>573</v>
      </c>
      <c r="C345" s="248" t="s">
        <v>574</v>
      </c>
      <c r="D345" s="248" t="s">
        <v>512</v>
      </c>
      <c r="E345" s="248">
        <v>10200.0</v>
      </c>
      <c r="F345" s="256">
        <v>45513.0</v>
      </c>
      <c r="G345" s="248">
        <v>2024.0</v>
      </c>
      <c r="H345" s="248" t="s">
        <v>513</v>
      </c>
      <c r="I345" s="248" t="s">
        <v>514</v>
      </c>
      <c r="J345" s="248" t="s">
        <v>297</v>
      </c>
      <c r="K345" s="249" t="s">
        <v>66</v>
      </c>
      <c r="L345" s="257" t="s">
        <v>523</v>
      </c>
      <c r="M345" s="249"/>
      <c r="N345" s="249"/>
      <c r="O345" s="249"/>
      <c r="P345" s="249"/>
      <c r="Q345" s="249"/>
      <c r="R345" s="249"/>
      <c r="S345" s="249"/>
      <c r="T345" s="249"/>
      <c r="U345" s="249"/>
      <c r="V345" s="249"/>
    </row>
    <row r="346">
      <c r="A346" s="255" t="s">
        <v>1088</v>
      </c>
      <c r="B346" s="248" t="s">
        <v>1039</v>
      </c>
      <c r="C346" s="248" t="s">
        <v>686</v>
      </c>
      <c r="D346" s="248" t="s">
        <v>512</v>
      </c>
      <c r="E346" s="248">
        <v>3472.0</v>
      </c>
      <c r="F346" s="256">
        <v>45512.0</v>
      </c>
      <c r="G346" s="248">
        <v>2024.0</v>
      </c>
      <c r="H346" s="248" t="s">
        <v>513</v>
      </c>
      <c r="I346" s="248" t="s">
        <v>514</v>
      </c>
      <c r="J346" s="248" t="s">
        <v>309</v>
      </c>
      <c r="K346" s="249" t="s">
        <v>66</v>
      </c>
      <c r="L346" s="257" t="s">
        <v>523</v>
      </c>
      <c r="M346" s="249"/>
      <c r="N346" s="249"/>
      <c r="O346" s="249"/>
      <c r="P346" s="249"/>
      <c r="Q346" s="249"/>
      <c r="R346" s="249"/>
      <c r="S346" s="249"/>
      <c r="T346" s="249"/>
      <c r="U346" s="249"/>
      <c r="V346" s="249"/>
    </row>
    <row r="347">
      <c r="A347" s="255" t="s">
        <v>1089</v>
      </c>
      <c r="B347" s="248" t="s">
        <v>786</v>
      </c>
      <c r="C347" s="248" t="s">
        <v>717</v>
      </c>
      <c r="D347" s="248" t="s">
        <v>512</v>
      </c>
      <c r="E347" s="248">
        <v>31835.0</v>
      </c>
      <c r="F347" s="256">
        <v>45511.0</v>
      </c>
      <c r="G347" s="248">
        <v>2024.0</v>
      </c>
      <c r="H347" s="248" t="s">
        <v>513</v>
      </c>
      <c r="I347" s="248" t="s">
        <v>514</v>
      </c>
      <c r="J347" s="248" t="s">
        <v>297</v>
      </c>
      <c r="K347" s="249" t="s">
        <v>66</v>
      </c>
      <c r="L347" s="257" t="s">
        <v>523</v>
      </c>
      <c r="M347" s="249"/>
      <c r="N347" s="249"/>
      <c r="O347" s="249"/>
      <c r="P347" s="249"/>
      <c r="Q347" s="249"/>
      <c r="R347" s="249"/>
      <c r="S347" s="249"/>
      <c r="T347" s="249"/>
      <c r="U347" s="249"/>
      <c r="V347" s="249"/>
    </row>
    <row r="348">
      <c r="A348" s="255" t="s">
        <v>1090</v>
      </c>
      <c r="B348" s="248" t="s">
        <v>553</v>
      </c>
      <c r="C348" s="248" t="s">
        <v>554</v>
      </c>
      <c r="D348" s="248" t="s">
        <v>512</v>
      </c>
      <c r="E348" s="248">
        <v>31216.0</v>
      </c>
      <c r="F348" s="256">
        <v>45510.0</v>
      </c>
      <c r="G348" s="248">
        <v>2024.0</v>
      </c>
      <c r="H348" s="248" t="s">
        <v>513</v>
      </c>
      <c r="I348" s="248" t="s">
        <v>514</v>
      </c>
      <c r="J348" s="248" t="s">
        <v>297</v>
      </c>
      <c r="K348" s="249" t="s">
        <v>66</v>
      </c>
      <c r="L348" s="257" t="s">
        <v>523</v>
      </c>
      <c r="M348" s="249"/>
      <c r="N348" s="249"/>
      <c r="O348" s="249"/>
      <c r="P348" s="249"/>
      <c r="Q348" s="249"/>
      <c r="R348" s="249"/>
      <c r="S348" s="249"/>
      <c r="T348" s="249"/>
      <c r="U348" s="249"/>
      <c r="V348" s="249"/>
    </row>
    <row r="349">
      <c r="A349" s="255" t="s">
        <v>1091</v>
      </c>
      <c r="B349" s="248" t="s">
        <v>573</v>
      </c>
      <c r="C349" s="248" t="s">
        <v>574</v>
      </c>
      <c r="D349" s="248" t="s">
        <v>512</v>
      </c>
      <c r="E349" s="248">
        <v>1114.0</v>
      </c>
      <c r="F349" s="256">
        <v>45506.0</v>
      </c>
      <c r="G349" s="248">
        <v>2024.0</v>
      </c>
      <c r="H349" s="248" t="s">
        <v>513</v>
      </c>
      <c r="I349" s="248" t="s">
        <v>514</v>
      </c>
      <c r="J349" s="248" t="s">
        <v>297</v>
      </c>
      <c r="K349" s="249" t="s">
        <v>66</v>
      </c>
      <c r="L349" s="257" t="s">
        <v>523</v>
      </c>
      <c r="M349" s="249"/>
      <c r="N349" s="249"/>
      <c r="O349" s="249"/>
      <c r="P349" s="249"/>
      <c r="Q349" s="249"/>
      <c r="R349" s="249"/>
      <c r="S349" s="249"/>
      <c r="T349" s="249"/>
      <c r="U349" s="249"/>
      <c r="V349" s="249"/>
    </row>
    <row r="350">
      <c r="A350" s="255" t="s">
        <v>1092</v>
      </c>
      <c r="B350" s="248" t="s">
        <v>530</v>
      </c>
      <c r="C350" s="248" t="s">
        <v>531</v>
      </c>
      <c r="D350" s="248" t="s">
        <v>520</v>
      </c>
      <c r="E350" s="248">
        <v>6890.0</v>
      </c>
      <c r="F350" s="256">
        <v>45506.0</v>
      </c>
      <c r="G350" s="248">
        <v>2024.0</v>
      </c>
      <c r="H350" s="248" t="s">
        <v>513</v>
      </c>
      <c r="I350" s="248" t="s">
        <v>514</v>
      </c>
      <c r="J350" s="248" t="s">
        <v>309</v>
      </c>
      <c r="K350" s="249" t="s">
        <v>66</v>
      </c>
      <c r="L350" s="257" t="s">
        <v>523</v>
      </c>
      <c r="M350" s="249"/>
      <c r="N350" s="249"/>
      <c r="O350" s="249"/>
      <c r="P350" s="249"/>
      <c r="Q350" s="249"/>
      <c r="R350" s="249"/>
      <c r="S350" s="249"/>
      <c r="T350" s="249"/>
      <c r="U350" s="249"/>
      <c r="V350" s="249"/>
    </row>
    <row r="351">
      <c r="A351" s="255" t="s">
        <v>1093</v>
      </c>
      <c r="B351" s="248" t="s">
        <v>607</v>
      </c>
      <c r="C351" s="248" t="s">
        <v>608</v>
      </c>
      <c r="D351" s="248" t="s">
        <v>512</v>
      </c>
      <c r="E351" s="248">
        <v>280534.0</v>
      </c>
      <c r="F351" s="256">
        <v>45506.0</v>
      </c>
      <c r="G351" s="248">
        <v>2024.0</v>
      </c>
      <c r="H351" s="248" t="s">
        <v>513</v>
      </c>
      <c r="I351" s="248" t="s">
        <v>514</v>
      </c>
      <c r="J351" s="248" t="s">
        <v>297</v>
      </c>
      <c r="K351" s="249" t="s">
        <v>66</v>
      </c>
      <c r="L351" s="257" t="s">
        <v>523</v>
      </c>
      <c r="M351" s="249"/>
      <c r="N351" s="249"/>
      <c r="O351" s="249"/>
      <c r="P351" s="249"/>
      <c r="Q351" s="249"/>
      <c r="R351" s="249"/>
      <c r="S351" s="249"/>
      <c r="T351" s="249"/>
      <c r="U351" s="249"/>
      <c r="V351" s="249"/>
    </row>
    <row r="352">
      <c r="A352" s="255" t="s">
        <v>1094</v>
      </c>
      <c r="B352" s="248" t="s">
        <v>564</v>
      </c>
      <c r="C352" s="248" t="s">
        <v>565</v>
      </c>
      <c r="D352" s="248" t="s">
        <v>512</v>
      </c>
      <c r="E352" s="248">
        <v>2500.0</v>
      </c>
      <c r="F352" s="256">
        <v>45506.0</v>
      </c>
      <c r="G352" s="248">
        <v>2024.0</v>
      </c>
      <c r="H352" s="248" t="s">
        <v>513</v>
      </c>
      <c r="I352" s="248" t="s">
        <v>514</v>
      </c>
      <c r="J352" s="248" t="s">
        <v>297</v>
      </c>
      <c r="K352" s="249" t="s">
        <v>66</v>
      </c>
      <c r="L352" s="257" t="s">
        <v>523</v>
      </c>
      <c r="M352" s="249"/>
      <c r="N352" s="249"/>
      <c r="O352" s="249"/>
      <c r="P352" s="249"/>
      <c r="Q352" s="249"/>
      <c r="R352" s="249"/>
      <c r="S352" s="249"/>
      <c r="T352" s="249"/>
      <c r="U352" s="249"/>
      <c r="V352" s="249"/>
    </row>
    <row r="353">
      <c r="A353" s="255" t="s">
        <v>1095</v>
      </c>
      <c r="B353" s="248" t="s">
        <v>641</v>
      </c>
      <c r="C353" s="248" t="s">
        <v>633</v>
      </c>
      <c r="D353" s="248" t="s">
        <v>512</v>
      </c>
      <c r="E353" s="248">
        <v>64131.0</v>
      </c>
      <c r="F353" s="256">
        <v>45506.0</v>
      </c>
      <c r="G353" s="248">
        <v>2024.0</v>
      </c>
      <c r="H353" s="248" t="s">
        <v>513</v>
      </c>
      <c r="I353" s="248" t="s">
        <v>514</v>
      </c>
      <c r="J353" s="248" t="s">
        <v>297</v>
      </c>
      <c r="K353" s="249" t="s">
        <v>66</v>
      </c>
      <c r="L353" s="257" t="s">
        <v>523</v>
      </c>
      <c r="M353" s="249"/>
      <c r="N353" s="249"/>
      <c r="O353" s="249"/>
      <c r="P353" s="249"/>
      <c r="Q353" s="249"/>
      <c r="R353" s="249"/>
      <c r="S353" s="249"/>
      <c r="T353" s="249"/>
      <c r="U353" s="249"/>
      <c r="V353" s="249"/>
    </row>
    <row r="354">
      <c r="A354" s="255" t="s">
        <v>1096</v>
      </c>
      <c r="B354" s="248" t="s">
        <v>679</v>
      </c>
      <c r="C354" s="248" t="s">
        <v>663</v>
      </c>
      <c r="D354" s="248" t="s">
        <v>512</v>
      </c>
      <c r="E354" s="248">
        <v>171871.0</v>
      </c>
      <c r="F354" s="256">
        <v>45504.0</v>
      </c>
      <c r="G354" s="248">
        <v>2024.0</v>
      </c>
      <c r="H354" s="248" t="s">
        <v>513</v>
      </c>
      <c r="I354" s="248" t="s">
        <v>514</v>
      </c>
      <c r="J354" s="248" t="s">
        <v>297</v>
      </c>
      <c r="K354" s="249" t="s">
        <v>66</v>
      </c>
      <c r="L354" s="257" t="s">
        <v>523</v>
      </c>
      <c r="M354" s="249"/>
      <c r="N354" s="249"/>
      <c r="O354" s="249"/>
      <c r="P354" s="249"/>
      <c r="Q354" s="249"/>
      <c r="R354" s="249"/>
      <c r="S354" s="249"/>
      <c r="T354" s="249"/>
      <c r="U354" s="249"/>
      <c r="V354" s="249"/>
    </row>
    <row r="355">
      <c r="A355" s="255" t="s">
        <v>1097</v>
      </c>
      <c r="B355" s="248" t="s">
        <v>595</v>
      </c>
      <c r="C355" s="248" t="s">
        <v>596</v>
      </c>
      <c r="D355" s="248" t="s">
        <v>512</v>
      </c>
      <c r="E355" s="248">
        <v>1937.0</v>
      </c>
      <c r="F355" s="256">
        <v>45502.0</v>
      </c>
      <c r="G355" s="248">
        <v>2024.0</v>
      </c>
      <c r="H355" s="248" t="s">
        <v>513</v>
      </c>
      <c r="I355" s="248" t="s">
        <v>514</v>
      </c>
      <c r="J355" s="248" t="s">
        <v>297</v>
      </c>
      <c r="K355" s="249" t="s">
        <v>66</v>
      </c>
      <c r="L355" s="257" t="s">
        <v>523</v>
      </c>
      <c r="M355" s="249"/>
      <c r="N355" s="249"/>
      <c r="O355" s="249"/>
      <c r="P355" s="249"/>
      <c r="Q355" s="249"/>
      <c r="R355" s="249"/>
      <c r="S355" s="249"/>
      <c r="T355" s="249"/>
      <c r="U355" s="249"/>
      <c r="V355" s="249"/>
    </row>
    <row r="356">
      <c r="A356" s="255" t="s">
        <v>1098</v>
      </c>
      <c r="B356" s="248" t="s">
        <v>886</v>
      </c>
      <c r="C356" s="248" t="s">
        <v>636</v>
      </c>
      <c r="D356" s="248" t="s">
        <v>575</v>
      </c>
      <c r="E356" s="248">
        <v>107894.0</v>
      </c>
      <c r="F356" s="256">
        <v>45499.0</v>
      </c>
      <c r="G356" s="248">
        <v>2024.0</v>
      </c>
      <c r="H356" s="248" t="s">
        <v>513</v>
      </c>
      <c r="I356" s="248" t="s">
        <v>521</v>
      </c>
      <c r="J356" s="248" t="s">
        <v>297</v>
      </c>
      <c r="K356" s="249" t="s">
        <v>66</v>
      </c>
      <c r="L356" s="257" t="s">
        <v>523</v>
      </c>
      <c r="M356" s="249"/>
      <c r="N356" s="249"/>
      <c r="O356" s="249"/>
      <c r="P356" s="249"/>
      <c r="Q356" s="249"/>
      <c r="R356" s="249"/>
      <c r="S356" s="249"/>
      <c r="T356" s="249"/>
      <c r="U356" s="249"/>
      <c r="V356" s="249"/>
    </row>
    <row r="357">
      <c r="A357" s="255" t="s">
        <v>1099</v>
      </c>
      <c r="B357" s="248" t="s">
        <v>607</v>
      </c>
      <c r="C357" s="248" t="s">
        <v>608</v>
      </c>
      <c r="D357" s="248" t="s">
        <v>512</v>
      </c>
      <c r="E357" s="248">
        <v>1655.0</v>
      </c>
      <c r="F357" s="256">
        <v>45499.0</v>
      </c>
      <c r="G357" s="248">
        <v>2024.0</v>
      </c>
      <c r="H357" s="248" t="s">
        <v>546</v>
      </c>
      <c r="I357" s="248" t="s">
        <v>547</v>
      </c>
      <c r="J357" s="248" t="s">
        <v>297</v>
      </c>
      <c r="K357" s="249" t="s">
        <v>66</v>
      </c>
      <c r="L357" s="257" t="s">
        <v>523</v>
      </c>
      <c r="M357" s="249"/>
      <c r="N357" s="249"/>
      <c r="O357" s="249"/>
      <c r="P357" s="249"/>
      <c r="Q357" s="249"/>
      <c r="R357" s="249"/>
      <c r="S357" s="249"/>
      <c r="T357" s="249"/>
      <c r="U357" s="249"/>
      <c r="V357" s="249"/>
    </row>
    <row r="358">
      <c r="A358" s="255" t="s">
        <v>1100</v>
      </c>
      <c r="B358" s="248" t="s">
        <v>538</v>
      </c>
      <c r="C358" s="248" t="s">
        <v>539</v>
      </c>
      <c r="D358" s="248" t="s">
        <v>575</v>
      </c>
      <c r="E358" s="248">
        <v>1115.0</v>
      </c>
      <c r="F358" s="256">
        <v>45499.0</v>
      </c>
      <c r="G358" s="248">
        <v>2024.0</v>
      </c>
      <c r="H358" s="248" t="s">
        <v>513</v>
      </c>
      <c r="I358" s="248" t="s">
        <v>514</v>
      </c>
      <c r="J358" s="248" t="s">
        <v>297</v>
      </c>
      <c r="K358" s="249" t="s">
        <v>66</v>
      </c>
      <c r="L358" s="257" t="s">
        <v>523</v>
      </c>
      <c r="M358" s="249"/>
      <c r="N358" s="249"/>
      <c r="O358" s="249"/>
      <c r="P358" s="249"/>
      <c r="Q358" s="249"/>
      <c r="R358" s="249"/>
      <c r="S358" s="249"/>
      <c r="T358" s="249"/>
      <c r="U358" s="249"/>
      <c r="V358" s="249"/>
    </row>
    <row r="359">
      <c r="A359" s="255" t="s">
        <v>1101</v>
      </c>
      <c r="B359" s="248" t="s">
        <v>542</v>
      </c>
      <c r="C359" s="248" t="s">
        <v>543</v>
      </c>
      <c r="D359" s="248" t="s">
        <v>512</v>
      </c>
      <c r="E359" s="248">
        <v>48684.0</v>
      </c>
      <c r="F359" s="256">
        <v>45497.0</v>
      </c>
      <c r="G359" s="248">
        <v>2024.0</v>
      </c>
      <c r="H359" s="248" t="s">
        <v>513</v>
      </c>
      <c r="I359" s="248" t="s">
        <v>514</v>
      </c>
      <c r="J359" s="248" t="s">
        <v>297</v>
      </c>
      <c r="K359" s="249" t="s">
        <v>66</v>
      </c>
      <c r="L359" s="257" t="s">
        <v>523</v>
      </c>
      <c r="M359" s="249"/>
      <c r="N359" s="249"/>
      <c r="O359" s="249"/>
      <c r="P359" s="249"/>
      <c r="Q359" s="249"/>
      <c r="R359" s="249"/>
      <c r="S359" s="249"/>
      <c r="T359" s="249"/>
      <c r="U359" s="249"/>
      <c r="V359" s="249"/>
    </row>
    <row r="360">
      <c r="A360" s="255" t="s">
        <v>1102</v>
      </c>
      <c r="B360" s="248" t="s">
        <v>542</v>
      </c>
      <c r="C360" s="248" t="s">
        <v>543</v>
      </c>
      <c r="D360" s="248" t="s">
        <v>512</v>
      </c>
      <c r="E360" s="248">
        <v>300000.0</v>
      </c>
      <c r="F360" s="256">
        <v>45497.0</v>
      </c>
      <c r="G360" s="248">
        <v>2024.0</v>
      </c>
      <c r="H360" s="248" t="s">
        <v>513</v>
      </c>
      <c r="I360" s="248" t="s">
        <v>514</v>
      </c>
      <c r="J360" s="248" t="s">
        <v>297</v>
      </c>
      <c r="K360" s="249" t="s">
        <v>66</v>
      </c>
      <c r="L360" s="257" t="s">
        <v>523</v>
      </c>
      <c r="M360" s="249"/>
      <c r="N360" s="249"/>
      <c r="O360" s="249"/>
      <c r="P360" s="249"/>
      <c r="Q360" s="249"/>
      <c r="R360" s="249"/>
      <c r="S360" s="249"/>
      <c r="T360" s="249"/>
      <c r="U360" s="249"/>
      <c r="V360" s="249"/>
    </row>
    <row r="361">
      <c r="A361" s="255" t="s">
        <v>1103</v>
      </c>
      <c r="B361" s="248" t="s">
        <v>595</v>
      </c>
      <c r="C361" s="248" t="s">
        <v>596</v>
      </c>
      <c r="D361" s="248" t="s">
        <v>512</v>
      </c>
      <c r="E361" s="248">
        <v>4109.0</v>
      </c>
      <c r="F361" s="256">
        <v>45495.0</v>
      </c>
      <c r="G361" s="248">
        <v>2024.0</v>
      </c>
      <c r="H361" s="248" t="s">
        <v>513</v>
      </c>
      <c r="I361" s="248" t="s">
        <v>514</v>
      </c>
      <c r="J361" s="248" t="s">
        <v>297</v>
      </c>
      <c r="K361" s="249" t="s">
        <v>66</v>
      </c>
      <c r="L361" s="257" t="s">
        <v>523</v>
      </c>
      <c r="M361" s="249"/>
      <c r="N361" s="249"/>
      <c r="O361" s="249"/>
      <c r="P361" s="249"/>
      <c r="Q361" s="249"/>
      <c r="R361" s="249"/>
      <c r="S361" s="249"/>
      <c r="T361" s="249"/>
      <c r="U361" s="249"/>
      <c r="V361" s="249"/>
    </row>
    <row r="362">
      <c r="A362" s="255" t="s">
        <v>1104</v>
      </c>
      <c r="B362" s="248" t="s">
        <v>538</v>
      </c>
      <c r="C362" s="248" t="s">
        <v>539</v>
      </c>
      <c r="D362" s="248" t="s">
        <v>512</v>
      </c>
      <c r="E362" s="248">
        <v>4318.0</v>
      </c>
      <c r="F362" s="256">
        <v>45492.0</v>
      </c>
      <c r="G362" s="248">
        <v>2024.0</v>
      </c>
      <c r="H362" s="248" t="s">
        <v>513</v>
      </c>
      <c r="I362" s="248" t="s">
        <v>514</v>
      </c>
      <c r="J362" s="248" t="s">
        <v>297</v>
      </c>
      <c r="K362" s="249" t="s">
        <v>66</v>
      </c>
      <c r="L362" s="257" t="s">
        <v>523</v>
      </c>
      <c r="M362" s="249"/>
      <c r="N362" s="249"/>
      <c r="O362" s="249"/>
      <c r="P362" s="249"/>
      <c r="Q362" s="249"/>
      <c r="R362" s="249"/>
      <c r="S362" s="249"/>
      <c r="T362" s="249"/>
      <c r="U362" s="249"/>
      <c r="V362" s="249"/>
    </row>
    <row r="363">
      <c r="A363" s="255" t="s">
        <v>1105</v>
      </c>
      <c r="B363" s="248" t="s">
        <v>679</v>
      </c>
      <c r="C363" s="248" t="s">
        <v>663</v>
      </c>
      <c r="D363" s="248" t="s">
        <v>512</v>
      </c>
      <c r="E363" s="248">
        <v>4500.0</v>
      </c>
      <c r="F363" s="256">
        <v>45492.0</v>
      </c>
      <c r="G363" s="248">
        <v>2024.0</v>
      </c>
      <c r="H363" s="248" t="s">
        <v>513</v>
      </c>
      <c r="I363" s="248" t="s">
        <v>514</v>
      </c>
      <c r="J363" s="248" t="s">
        <v>297</v>
      </c>
      <c r="K363" s="249" t="s">
        <v>66</v>
      </c>
      <c r="L363" s="257" t="s">
        <v>523</v>
      </c>
      <c r="M363" s="249"/>
      <c r="N363" s="249"/>
      <c r="O363" s="249"/>
      <c r="P363" s="249"/>
      <c r="Q363" s="249"/>
      <c r="R363" s="249"/>
      <c r="S363" s="249"/>
      <c r="T363" s="249"/>
      <c r="U363" s="249"/>
      <c r="V363" s="249"/>
    </row>
    <row r="364">
      <c r="A364" s="255" t="s">
        <v>1031</v>
      </c>
      <c r="B364" s="248" t="s">
        <v>924</v>
      </c>
      <c r="C364" s="248" t="s">
        <v>725</v>
      </c>
      <c r="D364" s="248" t="s">
        <v>512</v>
      </c>
      <c r="E364" s="248">
        <v>56953.0</v>
      </c>
      <c r="F364" s="256">
        <v>45492.0</v>
      </c>
      <c r="G364" s="248">
        <v>2024.0</v>
      </c>
      <c r="H364" s="248" t="s">
        <v>513</v>
      </c>
      <c r="I364" s="248" t="s">
        <v>521</v>
      </c>
      <c r="J364" s="248" t="s">
        <v>297</v>
      </c>
      <c r="K364" s="249" t="s">
        <v>66</v>
      </c>
      <c r="L364" s="257" t="s">
        <v>523</v>
      </c>
      <c r="M364" s="249"/>
      <c r="N364" s="249"/>
      <c r="O364" s="249"/>
      <c r="P364" s="249"/>
      <c r="Q364" s="249"/>
      <c r="R364" s="249"/>
      <c r="S364" s="249"/>
      <c r="T364" s="249"/>
      <c r="U364" s="249"/>
      <c r="V364" s="249"/>
    </row>
    <row r="365">
      <c r="A365" s="281" t="s">
        <v>1106</v>
      </c>
      <c r="B365" s="282" t="s">
        <v>641</v>
      </c>
      <c r="C365" s="282" t="s">
        <v>633</v>
      </c>
      <c r="D365" s="282" t="s">
        <v>520</v>
      </c>
      <c r="E365" s="282">
        <v>1.0E8</v>
      </c>
      <c r="F365" s="283">
        <v>45492.0</v>
      </c>
      <c r="G365" s="282">
        <v>2024.0</v>
      </c>
      <c r="H365" s="282" t="s">
        <v>513</v>
      </c>
      <c r="I365" s="282" t="s">
        <v>514</v>
      </c>
      <c r="J365" s="282" t="s">
        <v>309</v>
      </c>
      <c r="K365" s="284" t="s">
        <v>66</v>
      </c>
      <c r="L365" s="285" t="s">
        <v>523</v>
      </c>
      <c r="M365" s="249"/>
      <c r="N365" s="249"/>
      <c r="O365" s="249"/>
      <c r="P365" s="249"/>
      <c r="Q365" s="249"/>
      <c r="R365" s="249"/>
      <c r="S365" s="249"/>
      <c r="T365" s="249"/>
      <c r="U365" s="249"/>
      <c r="V365" s="249"/>
    </row>
    <row r="366">
      <c r="A366" s="255" t="s">
        <v>1107</v>
      </c>
      <c r="B366" s="248" t="s">
        <v>590</v>
      </c>
      <c r="C366" s="248" t="s">
        <v>591</v>
      </c>
      <c r="D366" s="248" t="s">
        <v>512</v>
      </c>
      <c r="E366" s="248">
        <v>8190.0</v>
      </c>
      <c r="F366" s="256">
        <v>45488.0</v>
      </c>
      <c r="G366" s="248">
        <v>2024.0</v>
      </c>
      <c r="H366" s="248" t="s">
        <v>513</v>
      </c>
      <c r="I366" s="248" t="s">
        <v>514</v>
      </c>
      <c r="J366" s="248" t="s">
        <v>297</v>
      </c>
      <c r="K366" s="249" t="s">
        <v>66</v>
      </c>
      <c r="L366" s="257" t="s">
        <v>523</v>
      </c>
      <c r="M366" s="249"/>
      <c r="N366" s="249"/>
      <c r="O366" s="249"/>
      <c r="P366" s="249"/>
      <c r="Q366" s="249"/>
      <c r="R366" s="249"/>
      <c r="S366" s="249"/>
      <c r="T366" s="249"/>
      <c r="U366" s="249"/>
      <c r="V366" s="249"/>
    </row>
    <row r="367">
      <c r="A367" s="255" t="s">
        <v>1108</v>
      </c>
      <c r="B367" s="248" t="s">
        <v>845</v>
      </c>
      <c r="C367" s="248" t="s">
        <v>733</v>
      </c>
      <c r="D367" s="248" t="s">
        <v>512</v>
      </c>
      <c r="E367" s="248">
        <v>3512.0</v>
      </c>
      <c r="F367" s="256">
        <v>45485.0</v>
      </c>
      <c r="G367" s="248">
        <v>2024.0</v>
      </c>
      <c r="H367" s="248" t="s">
        <v>513</v>
      </c>
      <c r="I367" s="248" t="s">
        <v>514</v>
      </c>
      <c r="J367" s="248" t="s">
        <v>297</v>
      </c>
      <c r="K367" s="249" t="s">
        <v>66</v>
      </c>
      <c r="L367" s="257" t="s">
        <v>523</v>
      </c>
      <c r="M367" s="249"/>
      <c r="N367" s="249"/>
      <c r="O367" s="249"/>
      <c r="P367" s="249"/>
      <c r="Q367" s="249"/>
      <c r="R367" s="249"/>
      <c r="S367" s="249"/>
      <c r="T367" s="249"/>
      <c r="U367" s="249"/>
      <c r="V367" s="249"/>
    </row>
    <row r="368">
      <c r="A368" s="255" t="s">
        <v>1109</v>
      </c>
      <c r="B368" s="248" t="s">
        <v>578</v>
      </c>
      <c r="C368" s="248" t="s">
        <v>579</v>
      </c>
      <c r="D368" s="248" t="s">
        <v>512</v>
      </c>
      <c r="E368" s="248">
        <v>74413.0</v>
      </c>
      <c r="F368" s="256">
        <v>45485.0</v>
      </c>
      <c r="G368" s="248">
        <v>2024.0</v>
      </c>
      <c r="H368" s="248" t="s">
        <v>513</v>
      </c>
      <c r="I368" s="248" t="s">
        <v>514</v>
      </c>
      <c r="J368" s="248" t="s">
        <v>297</v>
      </c>
      <c r="K368" s="249" t="s">
        <v>66</v>
      </c>
      <c r="L368" s="257" t="s">
        <v>523</v>
      </c>
      <c r="M368" s="249"/>
      <c r="N368" s="249"/>
      <c r="O368" s="249"/>
      <c r="P368" s="249"/>
      <c r="Q368" s="249"/>
      <c r="R368" s="249"/>
      <c r="S368" s="249"/>
      <c r="T368" s="249"/>
      <c r="U368" s="249"/>
      <c r="V368" s="249"/>
    </row>
    <row r="369">
      <c r="A369" s="255" t="s">
        <v>1110</v>
      </c>
      <c r="B369" s="248" t="s">
        <v>748</v>
      </c>
      <c r="C369" s="248" t="s">
        <v>694</v>
      </c>
      <c r="D369" s="248" t="s">
        <v>512</v>
      </c>
      <c r="E369" s="248">
        <v>2656.0</v>
      </c>
      <c r="F369" s="256">
        <v>45483.0</v>
      </c>
      <c r="G369" s="248">
        <v>2024.0</v>
      </c>
      <c r="H369" s="248" t="s">
        <v>513</v>
      </c>
      <c r="I369" s="248" t="s">
        <v>514</v>
      </c>
      <c r="J369" s="248" t="s">
        <v>297</v>
      </c>
      <c r="K369" s="249" t="s">
        <v>66</v>
      </c>
      <c r="L369" s="257" t="s">
        <v>523</v>
      </c>
      <c r="M369" s="249"/>
      <c r="N369" s="249"/>
      <c r="O369" s="249"/>
      <c r="P369" s="249"/>
      <c r="Q369" s="249"/>
      <c r="R369" s="249"/>
      <c r="S369" s="249"/>
      <c r="T369" s="249"/>
      <c r="U369" s="249"/>
      <c r="V369" s="249"/>
    </row>
    <row r="370">
      <c r="A370" s="255" t="s">
        <v>1111</v>
      </c>
      <c r="B370" s="248" t="s">
        <v>564</v>
      </c>
      <c r="C370" s="248" t="s">
        <v>565</v>
      </c>
      <c r="D370" s="248" t="s">
        <v>520</v>
      </c>
      <c r="E370" s="248">
        <v>3370.0</v>
      </c>
      <c r="F370" s="256">
        <v>45482.0</v>
      </c>
      <c r="G370" s="248">
        <v>2024.0</v>
      </c>
      <c r="H370" s="248" t="s">
        <v>513</v>
      </c>
      <c r="I370" s="248" t="s">
        <v>514</v>
      </c>
      <c r="J370" s="248" t="s">
        <v>309</v>
      </c>
      <c r="K370" s="249" t="s">
        <v>66</v>
      </c>
      <c r="L370" s="257" t="s">
        <v>523</v>
      </c>
      <c r="M370" s="249"/>
      <c r="N370" s="249"/>
      <c r="O370" s="249"/>
      <c r="P370" s="249"/>
      <c r="Q370" s="249"/>
      <c r="R370" s="249"/>
      <c r="S370" s="249"/>
      <c r="T370" s="249"/>
      <c r="U370" s="249"/>
      <c r="V370" s="249"/>
    </row>
    <row r="371">
      <c r="A371" s="255" t="s">
        <v>1112</v>
      </c>
      <c r="B371" s="248" t="s">
        <v>564</v>
      </c>
      <c r="C371" s="248" t="s">
        <v>565</v>
      </c>
      <c r="D371" s="248" t="s">
        <v>520</v>
      </c>
      <c r="E371" s="248">
        <v>117957.0</v>
      </c>
      <c r="F371" s="256">
        <v>45478.0</v>
      </c>
      <c r="G371" s="248">
        <v>2024.0</v>
      </c>
      <c r="H371" s="248" t="s">
        <v>513</v>
      </c>
      <c r="I371" s="248" t="s">
        <v>514</v>
      </c>
      <c r="J371" s="248" t="s">
        <v>309</v>
      </c>
      <c r="K371" s="249" t="s">
        <v>66</v>
      </c>
      <c r="L371" s="257" t="s">
        <v>523</v>
      </c>
      <c r="M371" s="249"/>
      <c r="N371" s="249"/>
      <c r="O371" s="249"/>
      <c r="P371" s="249"/>
      <c r="Q371" s="249"/>
      <c r="R371" s="249"/>
      <c r="S371" s="249"/>
      <c r="T371" s="249"/>
      <c r="U371" s="249"/>
      <c r="V371" s="249"/>
    </row>
    <row r="372">
      <c r="A372" s="255" t="s">
        <v>1113</v>
      </c>
      <c r="B372" s="248" t="s">
        <v>705</v>
      </c>
      <c r="C372" s="248" t="s">
        <v>706</v>
      </c>
      <c r="D372" s="248" t="s">
        <v>575</v>
      </c>
      <c r="E372" s="248">
        <v>5911.0</v>
      </c>
      <c r="F372" s="256">
        <v>45478.0</v>
      </c>
      <c r="G372" s="248">
        <v>2024.0</v>
      </c>
      <c r="H372" s="248" t="s">
        <v>513</v>
      </c>
      <c r="I372" s="248" t="s">
        <v>514</v>
      </c>
      <c r="J372" s="248" t="s">
        <v>309</v>
      </c>
      <c r="K372" s="249" t="s">
        <v>66</v>
      </c>
      <c r="L372" s="257" t="s">
        <v>523</v>
      </c>
      <c r="M372" s="249"/>
      <c r="N372" s="249"/>
      <c r="O372" s="249"/>
      <c r="P372" s="249"/>
      <c r="Q372" s="249"/>
      <c r="R372" s="249"/>
      <c r="S372" s="249"/>
      <c r="T372" s="249"/>
      <c r="U372" s="249"/>
      <c r="V372" s="249"/>
    </row>
    <row r="373">
      <c r="A373" s="255" t="s">
        <v>1114</v>
      </c>
      <c r="B373" s="248" t="s">
        <v>538</v>
      </c>
      <c r="C373" s="248" t="s">
        <v>539</v>
      </c>
      <c r="D373" s="248" t="s">
        <v>575</v>
      </c>
      <c r="E373" s="248">
        <v>1371.0</v>
      </c>
      <c r="F373" s="256">
        <v>45478.0</v>
      </c>
      <c r="G373" s="248">
        <v>2024.0</v>
      </c>
      <c r="H373" s="248" t="s">
        <v>513</v>
      </c>
      <c r="I373" s="248" t="s">
        <v>514</v>
      </c>
      <c r="J373" s="248" t="s">
        <v>309</v>
      </c>
      <c r="K373" s="249" t="s">
        <v>66</v>
      </c>
      <c r="L373" s="257" t="s">
        <v>523</v>
      </c>
      <c r="M373" s="249"/>
      <c r="N373" s="249"/>
      <c r="O373" s="249"/>
      <c r="P373" s="249"/>
      <c r="Q373" s="249"/>
      <c r="R373" s="249"/>
      <c r="S373" s="249"/>
      <c r="T373" s="249"/>
      <c r="U373" s="249"/>
      <c r="V373" s="249"/>
    </row>
    <row r="374">
      <c r="A374" s="255" t="s">
        <v>1115</v>
      </c>
      <c r="B374" s="248" t="s">
        <v>878</v>
      </c>
      <c r="C374" s="248" t="s">
        <v>643</v>
      </c>
      <c r="D374" s="248" t="s">
        <v>512</v>
      </c>
      <c r="E374" s="248">
        <v>5466931.0</v>
      </c>
      <c r="F374" s="256">
        <v>45476.0</v>
      </c>
      <c r="G374" s="248">
        <v>2024.0</v>
      </c>
      <c r="H374" s="248" t="s">
        <v>513</v>
      </c>
      <c r="I374" s="248" t="s">
        <v>514</v>
      </c>
      <c r="J374" s="248" t="s">
        <v>297</v>
      </c>
      <c r="K374" s="249" t="s">
        <v>66</v>
      </c>
      <c r="L374" s="257" t="s">
        <v>523</v>
      </c>
      <c r="M374" s="249"/>
      <c r="N374" s="249"/>
      <c r="O374" s="249"/>
      <c r="P374" s="249"/>
      <c r="Q374" s="249"/>
      <c r="R374" s="249"/>
      <c r="S374" s="249"/>
      <c r="T374" s="249"/>
      <c r="U374" s="249"/>
      <c r="V374" s="249"/>
    </row>
    <row r="375">
      <c r="A375" s="255" t="s">
        <v>1116</v>
      </c>
      <c r="B375" s="248" t="s">
        <v>705</v>
      </c>
      <c r="C375" s="248" t="s">
        <v>706</v>
      </c>
      <c r="D375" s="248" t="s">
        <v>520</v>
      </c>
      <c r="E375" s="248">
        <v>12787.0</v>
      </c>
      <c r="F375" s="256">
        <v>45476.0</v>
      </c>
      <c r="G375" s="248">
        <v>2024.0</v>
      </c>
      <c r="H375" s="248" t="s">
        <v>513</v>
      </c>
      <c r="I375" s="248" t="s">
        <v>514</v>
      </c>
      <c r="J375" s="248" t="s">
        <v>309</v>
      </c>
      <c r="K375" s="249" t="s">
        <v>66</v>
      </c>
      <c r="L375" s="257" t="s">
        <v>523</v>
      </c>
      <c r="M375" s="249"/>
      <c r="N375" s="249"/>
      <c r="O375" s="249"/>
      <c r="P375" s="249"/>
      <c r="Q375" s="249"/>
      <c r="R375" s="249"/>
      <c r="S375" s="249"/>
      <c r="T375" s="249"/>
      <c r="U375" s="249"/>
      <c r="V375" s="249"/>
    </row>
    <row r="376">
      <c r="A376" s="255" t="s">
        <v>1117</v>
      </c>
      <c r="B376" s="248" t="s">
        <v>705</v>
      </c>
      <c r="C376" s="248" t="s">
        <v>706</v>
      </c>
      <c r="D376" s="248" t="s">
        <v>512</v>
      </c>
      <c r="E376" s="248">
        <v>6890.0</v>
      </c>
      <c r="F376" s="256">
        <v>45476.0</v>
      </c>
      <c r="G376" s="248">
        <v>2024.0</v>
      </c>
      <c r="H376" s="248" t="s">
        <v>513</v>
      </c>
      <c r="I376" s="248" t="s">
        <v>521</v>
      </c>
      <c r="J376" s="248" t="s">
        <v>297</v>
      </c>
      <c r="K376" s="249" t="s">
        <v>66</v>
      </c>
      <c r="L376" s="257" t="s">
        <v>523</v>
      </c>
      <c r="M376" s="249"/>
      <c r="N376" s="249"/>
      <c r="O376" s="249"/>
      <c r="P376" s="249"/>
      <c r="Q376" s="249"/>
      <c r="R376" s="249"/>
      <c r="S376" s="249"/>
      <c r="T376" s="249"/>
      <c r="U376" s="249"/>
      <c r="V376" s="249"/>
    </row>
    <row r="377">
      <c r="A377" s="255" t="s">
        <v>1118</v>
      </c>
      <c r="B377" s="248" t="s">
        <v>727</v>
      </c>
      <c r="C377" s="248" t="s">
        <v>658</v>
      </c>
      <c r="D377" s="248" t="s">
        <v>512</v>
      </c>
      <c r="E377" s="248">
        <v>67443.0</v>
      </c>
      <c r="F377" s="256">
        <v>45476.0</v>
      </c>
      <c r="G377" s="248">
        <v>2024.0</v>
      </c>
      <c r="H377" s="248" t="s">
        <v>546</v>
      </c>
      <c r="I377" s="248" t="s">
        <v>514</v>
      </c>
      <c r="J377" s="248" t="s">
        <v>297</v>
      </c>
      <c r="K377" s="249" t="s">
        <v>66</v>
      </c>
      <c r="L377" s="257" t="s">
        <v>523</v>
      </c>
      <c r="M377" s="249"/>
      <c r="N377" s="249"/>
      <c r="O377" s="249"/>
      <c r="P377" s="249"/>
      <c r="Q377" s="249"/>
      <c r="R377" s="249"/>
      <c r="S377" s="249"/>
      <c r="T377" s="249"/>
      <c r="U377" s="249"/>
      <c r="V377" s="249"/>
    </row>
    <row r="378">
      <c r="A378" s="255" t="s">
        <v>1119</v>
      </c>
      <c r="B378" s="248" t="s">
        <v>564</v>
      </c>
      <c r="C378" s="248" t="s">
        <v>565</v>
      </c>
      <c r="D378" s="248" t="s">
        <v>512</v>
      </c>
      <c r="E378" s="248">
        <v>1508.0</v>
      </c>
      <c r="F378" s="256">
        <v>45475.0</v>
      </c>
      <c r="G378" s="248">
        <v>2024.0</v>
      </c>
      <c r="H378" s="248" t="s">
        <v>513</v>
      </c>
      <c r="I378" s="248" t="s">
        <v>514</v>
      </c>
      <c r="J378" s="248" t="s">
        <v>309</v>
      </c>
      <c r="K378" s="249" t="s">
        <v>66</v>
      </c>
      <c r="L378" s="257" t="s">
        <v>523</v>
      </c>
      <c r="M378" s="249"/>
      <c r="N378" s="249"/>
      <c r="O378" s="249"/>
      <c r="P378" s="249"/>
      <c r="Q378" s="249"/>
      <c r="R378" s="249"/>
      <c r="S378" s="249"/>
      <c r="T378" s="249"/>
      <c r="U378" s="249"/>
      <c r="V378" s="249"/>
    </row>
    <row r="379">
      <c r="A379" s="255" t="s">
        <v>1120</v>
      </c>
      <c r="B379" s="248" t="s">
        <v>75</v>
      </c>
      <c r="C379" s="248" t="s">
        <v>675</v>
      </c>
      <c r="D379" s="248" t="s">
        <v>512</v>
      </c>
      <c r="E379" s="248">
        <v>25650.0</v>
      </c>
      <c r="F379" s="256">
        <v>45475.0</v>
      </c>
      <c r="G379" s="248">
        <v>2024.0</v>
      </c>
      <c r="H379" s="248" t="s">
        <v>513</v>
      </c>
      <c r="I379" s="248" t="s">
        <v>514</v>
      </c>
      <c r="J379" s="248" t="s">
        <v>297</v>
      </c>
      <c r="K379" s="249" t="s">
        <v>66</v>
      </c>
      <c r="L379" s="257" t="s">
        <v>523</v>
      </c>
      <c r="M379" s="249"/>
      <c r="N379" s="249"/>
      <c r="O379" s="249"/>
      <c r="P379" s="249"/>
      <c r="Q379" s="249"/>
      <c r="R379" s="249"/>
      <c r="S379" s="249"/>
      <c r="T379" s="249"/>
      <c r="U379" s="249"/>
      <c r="V379" s="249"/>
    </row>
    <row r="380">
      <c r="A380" s="255" t="s">
        <v>1121</v>
      </c>
      <c r="B380" s="248" t="s">
        <v>75</v>
      </c>
      <c r="C380" s="248" t="s">
        <v>675</v>
      </c>
      <c r="D380" s="248" t="s">
        <v>512</v>
      </c>
      <c r="E380" s="248">
        <v>2349.0</v>
      </c>
      <c r="F380" s="256">
        <v>45474.0</v>
      </c>
      <c r="G380" s="248">
        <v>2024.0</v>
      </c>
      <c r="H380" s="248" t="s">
        <v>513</v>
      </c>
      <c r="I380" s="248" t="s">
        <v>1122</v>
      </c>
      <c r="J380" s="248" t="s">
        <v>297</v>
      </c>
      <c r="K380" s="249" t="s">
        <v>66</v>
      </c>
      <c r="L380" s="257" t="s">
        <v>523</v>
      </c>
      <c r="M380" s="249"/>
      <c r="N380" s="249"/>
      <c r="O380" s="249"/>
      <c r="P380" s="249"/>
      <c r="Q380" s="249"/>
      <c r="R380" s="249"/>
      <c r="S380" s="249"/>
      <c r="T380" s="249"/>
      <c r="U380" s="249"/>
      <c r="V380" s="249"/>
    </row>
    <row r="381">
      <c r="A381" s="255" t="s">
        <v>1123</v>
      </c>
      <c r="B381" s="248" t="s">
        <v>75</v>
      </c>
      <c r="C381" s="248" t="s">
        <v>675</v>
      </c>
      <c r="D381" s="248" t="s">
        <v>512</v>
      </c>
      <c r="E381" s="248">
        <v>24580.0</v>
      </c>
      <c r="F381" s="256">
        <v>45474.0</v>
      </c>
      <c r="G381" s="248">
        <v>2024.0</v>
      </c>
      <c r="H381" s="248" t="s">
        <v>513</v>
      </c>
      <c r="I381" s="248" t="s">
        <v>514</v>
      </c>
      <c r="J381" s="248" t="s">
        <v>297</v>
      </c>
      <c r="K381" s="249" t="s">
        <v>66</v>
      </c>
      <c r="L381" s="257" t="s">
        <v>523</v>
      </c>
      <c r="M381" s="249"/>
      <c r="N381" s="249"/>
      <c r="O381" s="249"/>
      <c r="P381" s="249"/>
      <c r="Q381" s="249"/>
      <c r="R381" s="249"/>
      <c r="S381" s="249"/>
      <c r="T381" s="249"/>
      <c r="U381" s="249"/>
      <c r="V381" s="249"/>
    </row>
    <row r="382">
      <c r="A382" s="255" t="s">
        <v>1124</v>
      </c>
      <c r="B382" s="248" t="s">
        <v>564</v>
      </c>
      <c r="C382" s="248" t="s">
        <v>565</v>
      </c>
      <c r="D382" s="248" t="s">
        <v>512</v>
      </c>
      <c r="E382" s="248">
        <v>9940.0</v>
      </c>
      <c r="F382" s="256">
        <v>45471.0</v>
      </c>
      <c r="G382" s="248">
        <v>2024.0</v>
      </c>
      <c r="H382" s="248" t="s">
        <v>551</v>
      </c>
      <c r="I382" s="248" t="s">
        <v>592</v>
      </c>
      <c r="J382" s="248" t="s">
        <v>297</v>
      </c>
      <c r="K382" s="249" t="s">
        <v>66</v>
      </c>
      <c r="L382" s="257" t="s">
        <v>523</v>
      </c>
      <c r="M382" s="249"/>
      <c r="N382" s="249"/>
      <c r="O382" s="249"/>
      <c r="P382" s="249"/>
      <c r="Q382" s="249"/>
      <c r="R382" s="249"/>
      <c r="S382" s="249"/>
      <c r="T382" s="249"/>
      <c r="U382" s="249"/>
      <c r="V382" s="249"/>
    </row>
    <row r="383">
      <c r="A383" s="255" t="s">
        <v>1125</v>
      </c>
      <c r="B383" s="248" t="s">
        <v>586</v>
      </c>
      <c r="C383" s="248" t="s">
        <v>587</v>
      </c>
      <c r="D383" s="248" t="s">
        <v>512</v>
      </c>
      <c r="E383" s="248">
        <v>775860.0</v>
      </c>
      <c r="F383" s="256">
        <v>45470.0</v>
      </c>
      <c r="G383" s="248">
        <v>2024.0</v>
      </c>
      <c r="H383" s="248" t="s">
        <v>513</v>
      </c>
      <c r="I383" s="248" t="s">
        <v>514</v>
      </c>
      <c r="J383" s="248" t="s">
        <v>297</v>
      </c>
      <c r="K383" s="249" t="s">
        <v>66</v>
      </c>
      <c r="L383" s="257" t="s">
        <v>523</v>
      </c>
      <c r="M383" s="249"/>
      <c r="N383" s="249"/>
      <c r="O383" s="249"/>
      <c r="P383" s="249"/>
      <c r="Q383" s="249"/>
      <c r="R383" s="249"/>
      <c r="S383" s="249"/>
      <c r="T383" s="249"/>
      <c r="U383" s="249"/>
      <c r="V383" s="249"/>
    </row>
    <row r="384">
      <c r="A384" s="255" t="s">
        <v>1126</v>
      </c>
      <c r="B384" s="248" t="s">
        <v>705</v>
      </c>
      <c r="C384" s="248" t="s">
        <v>706</v>
      </c>
      <c r="D384" s="248" t="s">
        <v>512</v>
      </c>
      <c r="E384" s="248">
        <v>3318.0</v>
      </c>
      <c r="F384" s="256">
        <v>45469.0</v>
      </c>
      <c r="G384" s="248">
        <v>2024.0</v>
      </c>
      <c r="H384" s="248" t="s">
        <v>551</v>
      </c>
      <c r="I384" s="248" t="s">
        <v>620</v>
      </c>
      <c r="J384" s="248" t="s">
        <v>297</v>
      </c>
      <c r="K384" s="249" t="s">
        <v>66</v>
      </c>
      <c r="L384" s="257" t="s">
        <v>523</v>
      </c>
      <c r="M384" s="249"/>
      <c r="N384" s="249"/>
      <c r="O384" s="249"/>
      <c r="P384" s="249"/>
      <c r="Q384" s="249"/>
      <c r="R384" s="249"/>
      <c r="S384" s="249"/>
      <c r="T384" s="249"/>
      <c r="U384" s="249"/>
      <c r="V384" s="249"/>
    </row>
    <row r="385">
      <c r="A385" s="255" t="s">
        <v>1127</v>
      </c>
      <c r="B385" s="248" t="s">
        <v>530</v>
      </c>
      <c r="C385" s="248" t="s">
        <v>531</v>
      </c>
      <c r="D385" s="248" t="s">
        <v>512</v>
      </c>
      <c r="E385" s="248">
        <v>2000.0</v>
      </c>
      <c r="F385" s="256">
        <v>45469.0</v>
      </c>
      <c r="G385" s="248">
        <v>2024.0</v>
      </c>
      <c r="H385" s="248" t="s">
        <v>546</v>
      </c>
      <c r="I385" s="248" t="s">
        <v>618</v>
      </c>
      <c r="J385" s="248" t="s">
        <v>297</v>
      </c>
      <c r="K385" s="249" t="s">
        <v>66</v>
      </c>
      <c r="L385" s="257" t="s">
        <v>523</v>
      </c>
      <c r="M385" s="249"/>
      <c r="N385" s="249"/>
      <c r="O385" s="249"/>
      <c r="P385" s="249"/>
      <c r="Q385" s="249"/>
      <c r="R385" s="249"/>
      <c r="S385" s="249"/>
      <c r="T385" s="249"/>
      <c r="U385" s="249"/>
      <c r="V385" s="249"/>
    </row>
    <row r="386">
      <c r="A386" s="255" t="s">
        <v>1128</v>
      </c>
      <c r="B386" s="248" t="s">
        <v>518</v>
      </c>
      <c r="C386" s="248" t="s">
        <v>519</v>
      </c>
      <c r="D386" s="248" t="s">
        <v>520</v>
      </c>
      <c r="E386" s="248">
        <v>14364.0</v>
      </c>
      <c r="F386" s="256">
        <v>45469.0</v>
      </c>
      <c r="G386" s="248">
        <v>2024.0</v>
      </c>
      <c r="H386" s="248" t="s">
        <v>546</v>
      </c>
      <c r="I386" s="248" t="s">
        <v>514</v>
      </c>
      <c r="J386" s="248" t="s">
        <v>309</v>
      </c>
      <c r="K386" s="249" t="s">
        <v>66</v>
      </c>
      <c r="L386" s="257" t="s">
        <v>523</v>
      </c>
      <c r="M386" s="249"/>
      <c r="N386" s="249"/>
      <c r="O386" s="249"/>
      <c r="P386" s="249"/>
      <c r="Q386" s="249"/>
      <c r="R386" s="249"/>
      <c r="S386" s="249"/>
      <c r="T386" s="249"/>
      <c r="U386" s="249"/>
      <c r="V386" s="249"/>
    </row>
    <row r="387">
      <c r="A387" s="255" t="s">
        <v>1129</v>
      </c>
      <c r="B387" s="248" t="s">
        <v>688</v>
      </c>
      <c r="C387" s="248" t="s">
        <v>683</v>
      </c>
      <c r="D387" s="248" t="s">
        <v>512</v>
      </c>
      <c r="E387" s="248">
        <v>1276026.0</v>
      </c>
      <c r="F387" s="256">
        <v>45464.0</v>
      </c>
      <c r="G387" s="248">
        <v>2024.0</v>
      </c>
      <c r="H387" s="248" t="s">
        <v>546</v>
      </c>
      <c r="I387" s="248" t="s">
        <v>514</v>
      </c>
      <c r="J387" s="248" t="s">
        <v>309</v>
      </c>
      <c r="K387" s="249" t="s">
        <v>66</v>
      </c>
      <c r="L387" s="257" t="s">
        <v>523</v>
      </c>
      <c r="M387" s="249"/>
      <c r="N387" s="249"/>
      <c r="O387" s="249"/>
      <c r="P387" s="249"/>
      <c r="Q387" s="249"/>
      <c r="R387" s="249"/>
      <c r="S387" s="249"/>
      <c r="T387" s="249"/>
      <c r="U387" s="249"/>
      <c r="V387" s="249"/>
    </row>
    <row r="388">
      <c r="A388" s="255" t="s">
        <v>1130</v>
      </c>
      <c r="B388" s="248" t="s">
        <v>688</v>
      </c>
      <c r="C388" s="248" t="s">
        <v>683</v>
      </c>
      <c r="D388" s="248" t="s">
        <v>512</v>
      </c>
      <c r="E388" s="248">
        <v>6169.0</v>
      </c>
      <c r="F388" s="256">
        <v>45464.0</v>
      </c>
      <c r="G388" s="248">
        <v>2024.0</v>
      </c>
      <c r="H388" s="248" t="s">
        <v>513</v>
      </c>
      <c r="I388" s="248" t="s">
        <v>514</v>
      </c>
      <c r="J388" s="248" t="s">
        <v>297</v>
      </c>
      <c r="K388" s="249" t="s">
        <v>66</v>
      </c>
      <c r="L388" s="257" t="s">
        <v>523</v>
      </c>
      <c r="M388" s="249"/>
      <c r="N388" s="249"/>
      <c r="O388" s="249"/>
      <c r="P388" s="249"/>
      <c r="Q388" s="249"/>
      <c r="R388" s="249"/>
      <c r="S388" s="249"/>
      <c r="T388" s="249"/>
      <c r="U388" s="249"/>
      <c r="V388" s="249"/>
    </row>
    <row r="389">
      <c r="A389" s="255" t="s">
        <v>1131</v>
      </c>
      <c r="B389" s="248" t="s">
        <v>679</v>
      </c>
      <c r="C389" s="248" t="s">
        <v>663</v>
      </c>
      <c r="D389" s="248" t="s">
        <v>512</v>
      </c>
      <c r="E389" s="248">
        <v>312867.0</v>
      </c>
      <c r="F389" s="256">
        <v>45464.0</v>
      </c>
      <c r="G389" s="248">
        <v>2024.0</v>
      </c>
      <c r="H389" s="248" t="s">
        <v>513</v>
      </c>
      <c r="I389" s="248" t="s">
        <v>514</v>
      </c>
      <c r="J389" s="248" t="s">
        <v>297</v>
      </c>
      <c r="K389" s="249" t="s">
        <v>66</v>
      </c>
      <c r="L389" s="257" t="s">
        <v>523</v>
      </c>
      <c r="M389" s="249"/>
      <c r="N389" s="249"/>
      <c r="O389" s="249"/>
      <c r="P389" s="249"/>
      <c r="Q389" s="249"/>
      <c r="R389" s="249"/>
      <c r="S389" s="249"/>
      <c r="T389" s="249"/>
      <c r="U389" s="249"/>
      <c r="V389" s="249"/>
    </row>
    <row r="390">
      <c r="A390" s="255" t="s">
        <v>1132</v>
      </c>
      <c r="B390" s="248" t="s">
        <v>688</v>
      </c>
      <c r="C390" s="248" t="s">
        <v>683</v>
      </c>
      <c r="D390" s="248" t="s">
        <v>520</v>
      </c>
      <c r="E390" s="248">
        <v>15196.0</v>
      </c>
      <c r="F390" s="256">
        <v>45464.0</v>
      </c>
      <c r="G390" s="248">
        <v>2024.0</v>
      </c>
      <c r="H390" s="248" t="s">
        <v>513</v>
      </c>
      <c r="I390" s="248" t="s">
        <v>514</v>
      </c>
      <c r="J390" s="248" t="s">
        <v>309</v>
      </c>
      <c r="K390" s="249" t="s">
        <v>66</v>
      </c>
      <c r="L390" s="257" t="s">
        <v>523</v>
      </c>
      <c r="M390" s="249"/>
      <c r="N390" s="249"/>
      <c r="O390" s="249"/>
      <c r="P390" s="249"/>
      <c r="Q390" s="249"/>
      <c r="R390" s="249"/>
      <c r="S390" s="249"/>
      <c r="T390" s="249"/>
      <c r="U390" s="249"/>
      <c r="V390" s="249"/>
    </row>
    <row r="391">
      <c r="A391" s="255" t="s">
        <v>1133</v>
      </c>
      <c r="B391" s="248" t="s">
        <v>668</v>
      </c>
      <c r="C391" s="248" t="s">
        <v>669</v>
      </c>
      <c r="D391" s="248" t="s">
        <v>512</v>
      </c>
      <c r="E391" s="248">
        <v>19150.0</v>
      </c>
      <c r="F391" s="256">
        <v>45464.0</v>
      </c>
      <c r="G391" s="248">
        <v>2024.0</v>
      </c>
      <c r="H391" s="248" t="s">
        <v>513</v>
      </c>
      <c r="I391" s="248" t="s">
        <v>514</v>
      </c>
      <c r="J391" s="248" t="s">
        <v>309</v>
      </c>
      <c r="K391" s="249" t="s">
        <v>66</v>
      </c>
      <c r="L391" s="257" t="s">
        <v>523</v>
      </c>
      <c r="M391" s="249"/>
      <c r="N391" s="249"/>
      <c r="O391" s="249"/>
      <c r="P391" s="249"/>
      <c r="Q391" s="249"/>
      <c r="R391" s="249"/>
      <c r="S391" s="249"/>
      <c r="T391" s="249"/>
      <c r="U391" s="249"/>
      <c r="V391" s="249"/>
    </row>
    <row r="392">
      <c r="A392" s="255" t="s">
        <v>1134</v>
      </c>
      <c r="B392" s="248" t="s">
        <v>530</v>
      </c>
      <c r="C392" s="248" t="s">
        <v>531</v>
      </c>
      <c r="D392" s="248" t="s">
        <v>512</v>
      </c>
      <c r="E392" s="248">
        <v>41444.0</v>
      </c>
      <c r="F392" s="256">
        <v>45464.0</v>
      </c>
      <c r="G392" s="248">
        <v>2024.0</v>
      </c>
      <c r="H392" s="248" t="s">
        <v>513</v>
      </c>
      <c r="I392" s="248" t="s">
        <v>521</v>
      </c>
      <c r="J392" s="248" t="s">
        <v>297</v>
      </c>
      <c r="K392" s="249" t="s">
        <v>66</v>
      </c>
      <c r="L392" s="257" t="s">
        <v>523</v>
      </c>
      <c r="M392" s="249"/>
      <c r="N392" s="249"/>
      <c r="O392" s="249"/>
      <c r="P392" s="249"/>
      <c r="Q392" s="249"/>
      <c r="R392" s="249"/>
      <c r="S392" s="249"/>
      <c r="T392" s="249"/>
      <c r="U392" s="249"/>
      <c r="V392" s="249"/>
    </row>
    <row r="393">
      <c r="A393" s="255" t="s">
        <v>1135</v>
      </c>
      <c r="B393" s="248" t="s">
        <v>510</v>
      </c>
      <c r="C393" s="248" t="s">
        <v>511</v>
      </c>
      <c r="D393" s="248" t="s">
        <v>512</v>
      </c>
      <c r="E393" s="248">
        <v>88044.0</v>
      </c>
      <c r="F393" s="256">
        <v>45463.0</v>
      </c>
      <c r="G393" s="248">
        <v>2024.0</v>
      </c>
      <c r="H393" s="248" t="s">
        <v>513</v>
      </c>
      <c r="I393" s="248" t="s">
        <v>514</v>
      </c>
      <c r="J393" s="248" t="s">
        <v>297</v>
      </c>
      <c r="K393" s="249" t="s">
        <v>66</v>
      </c>
      <c r="L393" s="257" t="s">
        <v>523</v>
      </c>
      <c r="M393" s="249"/>
      <c r="N393" s="249"/>
      <c r="O393" s="249"/>
      <c r="P393" s="249"/>
      <c r="Q393" s="249"/>
      <c r="R393" s="249"/>
      <c r="S393" s="249"/>
      <c r="T393" s="249"/>
      <c r="U393" s="249"/>
      <c r="V393" s="249"/>
    </row>
    <row r="394">
      <c r="A394" s="255" t="s">
        <v>1136</v>
      </c>
      <c r="B394" s="248" t="s">
        <v>878</v>
      </c>
      <c r="C394" s="248" t="s">
        <v>643</v>
      </c>
      <c r="D394" s="248" t="s">
        <v>512</v>
      </c>
      <c r="E394" s="248">
        <v>7021.0</v>
      </c>
      <c r="F394" s="256">
        <v>45461.0</v>
      </c>
      <c r="G394" s="248">
        <v>2024.0</v>
      </c>
      <c r="H394" s="248" t="s">
        <v>513</v>
      </c>
      <c r="I394" s="248" t="s">
        <v>521</v>
      </c>
      <c r="J394" s="248" t="s">
        <v>297</v>
      </c>
      <c r="K394" s="249" t="s">
        <v>66</v>
      </c>
      <c r="L394" s="257" t="s">
        <v>523</v>
      </c>
      <c r="M394" s="249"/>
      <c r="N394" s="249"/>
      <c r="O394" s="249"/>
      <c r="P394" s="249"/>
      <c r="Q394" s="249"/>
      <c r="R394" s="249"/>
      <c r="S394" s="249"/>
      <c r="T394" s="249"/>
      <c r="U394" s="249"/>
      <c r="V394" s="249"/>
    </row>
    <row r="395">
      <c r="A395" s="255" t="s">
        <v>1137</v>
      </c>
      <c r="B395" s="248" t="s">
        <v>542</v>
      </c>
      <c r="C395" s="248" t="s">
        <v>543</v>
      </c>
      <c r="D395" s="248" t="s">
        <v>512</v>
      </c>
      <c r="E395" s="248">
        <v>37210.0</v>
      </c>
      <c r="F395" s="256">
        <v>45460.0</v>
      </c>
      <c r="G395" s="248">
        <v>2024.0</v>
      </c>
      <c r="H395" s="248" t="s">
        <v>513</v>
      </c>
      <c r="I395" s="248" t="s">
        <v>521</v>
      </c>
      <c r="J395" s="248" t="s">
        <v>297</v>
      </c>
      <c r="K395" s="249" t="s">
        <v>66</v>
      </c>
      <c r="L395" s="257" t="s">
        <v>523</v>
      </c>
      <c r="M395" s="249"/>
      <c r="N395" s="249"/>
      <c r="O395" s="249"/>
      <c r="P395" s="249"/>
      <c r="Q395" s="249"/>
      <c r="R395" s="249"/>
      <c r="S395" s="249"/>
      <c r="T395" s="249"/>
      <c r="U395" s="249"/>
      <c r="V395" s="249"/>
    </row>
    <row r="396">
      <c r="A396" s="255" t="s">
        <v>1138</v>
      </c>
      <c r="B396" s="248" t="s">
        <v>705</v>
      </c>
      <c r="C396" s="248" t="s">
        <v>706</v>
      </c>
      <c r="D396" s="248" t="s">
        <v>512</v>
      </c>
      <c r="E396" s="248">
        <v>1241.0</v>
      </c>
      <c r="F396" s="256">
        <v>45460.0</v>
      </c>
      <c r="G396" s="248">
        <v>2024.0</v>
      </c>
      <c r="H396" s="248" t="s">
        <v>559</v>
      </c>
      <c r="I396" s="248" t="s">
        <v>547</v>
      </c>
      <c r="J396" s="248" t="s">
        <v>297</v>
      </c>
      <c r="K396" s="249" t="s">
        <v>66</v>
      </c>
      <c r="L396" s="257" t="s">
        <v>523</v>
      </c>
      <c r="M396" s="249"/>
      <c r="N396" s="249"/>
      <c r="O396" s="249"/>
      <c r="P396" s="249"/>
      <c r="Q396" s="249"/>
      <c r="R396" s="249"/>
      <c r="S396" s="249"/>
      <c r="T396" s="249"/>
      <c r="U396" s="249"/>
      <c r="V396" s="249"/>
    </row>
    <row r="397">
      <c r="A397" s="255" t="s">
        <v>1139</v>
      </c>
      <c r="B397" s="248" t="s">
        <v>705</v>
      </c>
      <c r="C397" s="248" t="s">
        <v>706</v>
      </c>
      <c r="D397" s="248" t="s">
        <v>512</v>
      </c>
      <c r="E397" s="248">
        <v>18182.0</v>
      </c>
      <c r="F397" s="256">
        <v>45457.0</v>
      </c>
      <c r="G397" s="248">
        <v>2024.0</v>
      </c>
      <c r="H397" s="248" t="s">
        <v>513</v>
      </c>
      <c r="I397" s="248" t="s">
        <v>514</v>
      </c>
      <c r="J397" s="248" t="s">
        <v>297</v>
      </c>
      <c r="K397" s="249" t="s">
        <v>66</v>
      </c>
      <c r="L397" s="257" t="s">
        <v>523</v>
      </c>
      <c r="M397" s="249"/>
      <c r="N397" s="249"/>
      <c r="O397" s="249"/>
      <c r="P397" s="249"/>
      <c r="Q397" s="249"/>
      <c r="R397" s="249"/>
      <c r="S397" s="249"/>
      <c r="T397" s="249"/>
      <c r="U397" s="249"/>
      <c r="V397" s="249"/>
    </row>
    <row r="398">
      <c r="A398" s="255" t="s">
        <v>1140</v>
      </c>
      <c r="B398" s="248" t="s">
        <v>553</v>
      </c>
      <c r="C398" s="248" t="s">
        <v>554</v>
      </c>
      <c r="D398" s="248" t="s">
        <v>512</v>
      </c>
      <c r="E398" s="248">
        <v>1267.0</v>
      </c>
      <c r="F398" s="256">
        <v>45457.0</v>
      </c>
      <c r="G398" s="248">
        <v>2024.0</v>
      </c>
      <c r="H398" s="248" t="s">
        <v>546</v>
      </c>
      <c r="I398" s="248" t="s">
        <v>514</v>
      </c>
      <c r="J398" s="248" t="s">
        <v>297</v>
      </c>
      <c r="K398" s="249" t="s">
        <v>66</v>
      </c>
      <c r="L398" s="257" t="s">
        <v>523</v>
      </c>
      <c r="M398" s="249"/>
      <c r="N398" s="249"/>
      <c r="O398" s="249"/>
      <c r="P398" s="249"/>
      <c r="Q398" s="249"/>
      <c r="R398" s="249"/>
      <c r="S398" s="249"/>
      <c r="T398" s="249"/>
      <c r="U398" s="249"/>
      <c r="V398" s="249"/>
    </row>
    <row r="399">
      <c r="A399" s="255" t="s">
        <v>1141</v>
      </c>
      <c r="B399" s="248" t="s">
        <v>641</v>
      </c>
      <c r="C399" s="248" t="s">
        <v>633</v>
      </c>
      <c r="D399" s="248" t="s">
        <v>512</v>
      </c>
      <c r="E399" s="248">
        <v>583824.0</v>
      </c>
      <c r="F399" s="256">
        <v>45457.0</v>
      </c>
      <c r="G399" s="248">
        <v>2024.0</v>
      </c>
      <c r="H399" s="248" t="s">
        <v>513</v>
      </c>
      <c r="I399" s="248" t="s">
        <v>514</v>
      </c>
      <c r="J399" s="248" t="s">
        <v>297</v>
      </c>
      <c r="K399" s="249" t="s">
        <v>66</v>
      </c>
      <c r="L399" s="257" t="s">
        <v>523</v>
      </c>
      <c r="M399" s="249"/>
      <c r="N399" s="249"/>
      <c r="O399" s="249"/>
      <c r="P399" s="249"/>
      <c r="Q399" s="249"/>
      <c r="R399" s="249"/>
      <c r="S399" s="249"/>
      <c r="T399" s="249"/>
      <c r="U399" s="249"/>
      <c r="V399" s="249"/>
    </row>
    <row r="400">
      <c r="A400" s="255" t="s">
        <v>1142</v>
      </c>
      <c r="B400" s="248" t="s">
        <v>573</v>
      </c>
      <c r="C400" s="248" t="s">
        <v>574</v>
      </c>
      <c r="D400" s="248" t="s">
        <v>512</v>
      </c>
      <c r="E400" s="248">
        <v>19805.0</v>
      </c>
      <c r="F400" s="256">
        <v>45455.0</v>
      </c>
      <c r="G400" s="248">
        <v>2024.0</v>
      </c>
      <c r="H400" s="248" t="s">
        <v>513</v>
      </c>
      <c r="I400" s="248" t="s">
        <v>514</v>
      </c>
      <c r="J400" s="248" t="s">
        <v>309</v>
      </c>
      <c r="K400" s="249" t="s">
        <v>66</v>
      </c>
      <c r="L400" s="257" t="s">
        <v>523</v>
      </c>
      <c r="M400" s="249"/>
      <c r="N400" s="249"/>
      <c r="O400" s="249"/>
      <c r="P400" s="249"/>
      <c r="Q400" s="249"/>
      <c r="R400" s="249"/>
      <c r="S400" s="249"/>
      <c r="T400" s="249"/>
      <c r="U400" s="249"/>
      <c r="V400" s="249"/>
    </row>
    <row r="401">
      <c r="A401" s="255" t="s">
        <v>1143</v>
      </c>
      <c r="B401" s="248" t="s">
        <v>534</v>
      </c>
      <c r="C401" s="248" t="s">
        <v>535</v>
      </c>
      <c r="D401" s="248" t="s">
        <v>575</v>
      </c>
      <c r="E401" s="248">
        <v>3217.0</v>
      </c>
      <c r="F401" s="256">
        <v>45454.0</v>
      </c>
      <c r="G401" s="248">
        <v>2024.0</v>
      </c>
      <c r="H401" s="248" t="s">
        <v>513</v>
      </c>
      <c r="I401" s="248" t="s">
        <v>514</v>
      </c>
      <c r="J401" s="248" t="s">
        <v>309</v>
      </c>
      <c r="K401" s="249" t="s">
        <v>66</v>
      </c>
      <c r="L401" s="257" t="s">
        <v>523</v>
      </c>
      <c r="M401" s="249"/>
      <c r="N401" s="249"/>
      <c r="O401" s="249"/>
      <c r="P401" s="249"/>
      <c r="Q401" s="249"/>
      <c r="R401" s="249"/>
      <c r="S401" s="249"/>
      <c r="T401" s="249"/>
      <c r="U401" s="249"/>
      <c r="V401" s="249"/>
    </row>
    <row r="402">
      <c r="A402" s="255" t="s">
        <v>1144</v>
      </c>
      <c r="B402" s="248" t="s">
        <v>688</v>
      </c>
      <c r="C402" s="248" t="s">
        <v>683</v>
      </c>
      <c r="D402" s="248" t="s">
        <v>575</v>
      </c>
      <c r="E402" s="248">
        <v>1061.0</v>
      </c>
      <c r="F402" s="256">
        <v>45454.0</v>
      </c>
      <c r="G402" s="248">
        <v>2024.0</v>
      </c>
      <c r="H402" s="248" t="s">
        <v>513</v>
      </c>
      <c r="I402" s="248" t="s">
        <v>514</v>
      </c>
      <c r="J402" s="248" t="s">
        <v>309</v>
      </c>
      <c r="K402" s="249" t="s">
        <v>66</v>
      </c>
      <c r="L402" s="257" t="s">
        <v>523</v>
      </c>
      <c r="M402" s="249"/>
      <c r="N402" s="249"/>
      <c r="O402" s="249"/>
      <c r="P402" s="249"/>
      <c r="Q402" s="249"/>
      <c r="R402" s="249"/>
      <c r="S402" s="249"/>
      <c r="T402" s="249"/>
      <c r="U402" s="249"/>
      <c r="V402" s="249"/>
    </row>
    <row r="403">
      <c r="A403" s="255" t="s">
        <v>1145</v>
      </c>
      <c r="B403" s="248" t="s">
        <v>886</v>
      </c>
      <c r="C403" s="248" t="s">
        <v>636</v>
      </c>
      <c r="D403" s="248" t="s">
        <v>520</v>
      </c>
      <c r="E403" s="248">
        <v>106540.0</v>
      </c>
      <c r="F403" s="256">
        <v>45453.0</v>
      </c>
      <c r="G403" s="248">
        <v>2024.0</v>
      </c>
      <c r="H403" s="248" t="s">
        <v>513</v>
      </c>
      <c r="I403" s="248" t="s">
        <v>514</v>
      </c>
      <c r="J403" s="248" t="s">
        <v>309</v>
      </c>
      <c r="K403" s="249" t="s">
        <v>66</v>
      </c>
      <c r="L403" s="257" t="s">
        <v>523</v>
      </c>
      <c r="M403" s="249"/>
      <c r="N403" s="249"/>
      <c r="O403" s="249"/>
      <c r="P403" s="249"/>
      <c r="Q403" s="249"/>
      <c r="R403" s="249"/>
      <c r="S403" s="249"/>
      <c r="T403" s="249"/>
      <c r="U403" s="249"/>
      <c r="V403" s="249"/>
    </row>
    <row r="404">
      <c r="A404" s="255" t="s">
        <v>1146</v>
      </c>
      <c r="B404" s="248" t="s">
        <v>924</v>
      </c>
      <c r="C404" s="248" t="s">
        <v>725</v>
      </c>
      <c r="D404" s="248" t="s">
        <v>512</v>
      </c>
      <c r="E404" s="248">
        <v>6566.0</v>
      </c>
      <c r="F404" s="256">
        <v>45453.0</v>
      </c>
      <c r="G404" s="248">
        <v>2024.0</v>
      </c>
      <c r="H404" s="248" t="s">
        <v>513</v>
      </c>
      <c r="I404" s="248" t="s">
        <v>514</v>
      </c>
      <c r="J404" s="248" t="s">
        <v>297</v>
      </c>
      <c r="K404" s="249" t="s">
        <v>66</v>
      </c>
      <c r="L404" s="257" t="s">
        <v>523</v>
      </c>
      <c r="M404" s="249"/>
      <c r="N404" s="249"/>
      <c r="O404" s="249"/>
      <c r="P404" s="249"/>
      <c r="Q404" s="249"/>
      <c r="R404" s="249"/>
      <c r="S404" s="249"/>
      <c r="T404" s="249"/>
      <c r="U404" s="249"/>
      <c r="V404" s="249"/>
    </row>
    <row r="405">
      <c r="A405" s="255" t="s">
        <v>1147</v>
      </c>
      <c r="B405" s="248" t="s">
        <v>886</v>
      </c>
      <c r="C405" s="248" t="s">
        <v>636</v>
      </c>
      <c r="D405" s="248" t="s">
        <v>512</v>
      </c>
      <c r="E405" s="248">
        <v>10750.0</v>
      </c>
      <c r="F405" s="256">
        <v>45450.0</v>
      </c>
      <c r="G405" s="248">
        <v>2024.0</v>
      </c>
      <c r="H405" s="248" t="s">
        <v>513</v>
      </c>
      <c r="I405" s="248" t="s">
        <v>514</v>
      </c>
      <c r="J405" s="248" t="s">
        <v>297</v>
      </c>
      <c r="K405" s="249" t="s">
        <v>66</v>
      </c>
      <c r="L405" s="257" t="s">
        <v>523</v>
      </c>
      <c r="M405" s="249"/>
      <c r="N405" s="249"/>
      <c r="O405" s="249"/>
      <c r="P405" s="249"/>
      <c r="Q405" s="249"/>
      <c r="R405" s="249"/>
      <c r="S405" s="249"/>
      <c r="T405" s="249"/>
      <c r="U405" s="249"/>
      <c r="V405" s="249"/>
    </row>
    <row r="406">
      <c r="A406" s="255" t="s">
        <v>1148</v>
      </c>
      <c r="B406" s="248" t="s">
        <v>534</v>
      </c>
      <c r="C406" s="248" t="s">
        <v>535</v>
      </c>
      <c r="D406" s="248" t="s">
        <v>512</v>
      </c>
      <c r="E406" s="248">
        <v>3764.0</v>
      </c>
      <c r="F406" s="256">
        <v>45449.0</v>
      </c>
      <c r="G406" s="248">
        <v>2024.0</v>
      </c>
      <c r="H406" s="248" t="s">
        <v>513</v>
      </c>
      <c r="I406" s="248" t="s">
        <v>1149</v>
      </c>
      <c r="J406" s="248" t="s">
        <v>297</v>
      </c>
      <c r="K406" s="249" t="s">
        <v>66</v>
      </c>
      <c r="L406" s="257" t="s">
        <v>523</v>
      </c>
      <c r="M406" s="249"/>
      <c r="N406" s="249"/>
      <c r="O406" s="249"/>
      <c r="P406" s="249"/>
      <c r="Q406" s="249"/>
      <c r="R406" s="249"/>
      <c r="S406" s="249"/>
      <c r="T406" s="249"/>
      <c r="U406" s="249"/>
      <c r="V406" s="249"/>
    </row>
    <row r="407">
      <c r="A407" s="255" t="s">
        <v>1150</v>
      </c>
      <c r="B407" s="248" t="s">
        <v>815</v>
      </c>
      <c r="C407" s="248" t="s">
        <v>728</v>
      </c>
      <c r="D407" s="248" t="s">
        <v>575</v>
      </c>
      <c r="E407" s="248">
        <v>15003.0</v>
      </c>
      <c r="F407" s="256">
        <v>45448.0</v>
      </c>
      <c r="G407" s="248">
        <v>2024.0</v>
      </c>
      <c r="H407" s="248" t="s">
        <v>546</v>
      </c>
      <c r="I407" s="248" t="s">
        <v>547</v>
      </c>
      <c r="J407" s="248" t="s">
        <v>297</v>
      </c>
      <c r="K407" s="249" t="s">
        <v>66</v>
      </c>
      <c r="L407" s="257" t="s">
        <v>523</v>
      </c>
      <c r="M407" s="249"/>
      <c r="N407" s="249"/>
      <c r="O407" s="249"/>
      <c r="P407" s="249"/>
      <c r="Q407" s="249"/>
      <c r="R407" s="249"/>
      <c r="S407" s="249"/>
      <c r="T407" s="249"/>
      <c r="U407" s="249"/>
      <c r="V407" s="249"/>
    </row>
    <row r="408">
      <c r="A408" s="255" t="s">
        <v>1151</v>
      </c>
      <c r="B408" s="248" t="s">
        <v>727</v>
      </c>
      <c r="C408" s="248" t="s">
        <v>658</v>
      </c>
      <c r="D408" s="248" t="s">
        <v>512</v>
      </c>
      <c r="E408" s="248">
        <v>377911.0</v>
      </c>
      <c r="F408" s="256">
        <v>45448.0</v>
      </c>
      <c r="G408" s="248">
        <v>2024.0</v>
      </c>
      <c r="H408" s="248" t="s">
        <v>513</v>
      </c>
      <c r="I408" s="248" t="s">
        <v>514</v>
      </c>
      <c r="J408" s="248" t="s">
        <v>297</v>
      </c>
      <c r="K408" s="249" t="s">
        <v>66</v>
      </c>
      <c r="L408" s="257" t="s">
        <v>523</v>
      </c>
      <c r="M408" s="249"/>
      <c r="N408" s="249"/>
      <c r="O408" s="249"/>
      <c r="P408" s="249"/>
      <c r="Q408" s="249"/>
      <c r="R408" s="249"/>
      <c r="S408" s="249"/>
      <c r="T408" s="249"/>
      <c r="U408" s="249"/>
      <c r="V408" s="249"/>
    </row>
    <row r="409">
      <c r="A409" s="255" t="s">
        <v>1152</v>
      </c>
      <c r="B409" s="248" t="s">
        <v>688</v>
      </c>
      <c r="C409" s="248" t="s">
        <v>683</v>
      </c>
      <c r="D409" s="248" t="s">
        <v>520</v>
      </c>
      <c r="E409" s="248">
        <v>117567.0</v>
      </c>
      <c r="F409" s="256">
        <v>45447.0</v>
      </c>
      <c r="G409" s="248">
        <v>2024.0</v>
      </c>
      <c r="H409" s="248" t="s">
        <v>513</v>
      </c>
      <c r="I409" s="248" t="s">
        <v>514</v>
      </c>
      <c r="J409" s="248" t="s">
        <v>309</v>
      </c>
      <c r="K409" s="249" t="s">
        <v>66</v>
      </c>
      <c r="L409" s="257" t="s">
        <v>523</v>
      </c>
      <c r="M409" s="249"/>
      <c r="N409" s="249"/>
      <c r="O409" s="249"/>
      <c r="P409" s="249"/>
      <c r="Q409" s="249"/>
      <c r="R409" s="249"/>
      <c r="S409" s="249"/>
      <c r="T409" s="249"/>
      <c r="U409" s="249"/>
      <c r="V409" s="249"/>
    </row>
    <row r="410">
      <c r="A410" s="255" t="s">
        <v>1153</v>
      </c>
      <c r="B410" s="248" t="s">
        <v>831</v>
      </c>
      <c r="C410" s="248" t="s">
        <v>754</v>
      </c>
      <c r="D410" s="248" t="s">
        <v>575</v>
      </c>
      <c r="E410" s="248">
        <v>1867.0</v>
      </c>
      <c r="F410" s="256">
        <v>45447.0</v>
      </c>
      <c r="G410" s="248">
        <v>2024.0</v>
      </c>
      <c r="H410" s="248" t="s">
        <v>513</v>
      </c>
      <c r="I410" s="248" t="s">
        <v>514</v>
      </c>
      <c r="J410" s="248" t="s">
        <v>297</v>
      </c>
      <c r="K410" s="249" t="s">
        <v>66</v>
      </c>
      <c r="L410" s="257" t="s">
        <v>523</v>
      </c>
      <c r="M410" s="249"/>
      <c r="N410" s="249"/>
      <c r="O410" s="249"/>
      <c r="P410" s="249"/>
      <c r="Q410" s="249"/>
      <c r="R410" s="249"/>
      <c r="S410" s="249"/>
      <c r="T410" s="249"/>
      <c r="U410" s="249"/>
      <c r="V410" s="249"/>
    </row>
    <row r="411">
      <c r="A411" s="255" t="s">
        <v>1154</v>
      </c>
      <c r="B411" s="248" t="s">
        <v>688</v>
      </c>
      <c r="C411" s="248" t="s">
        <v>683</v>
      </c>
      <c r="D411" s="248" t="s">
        <v>512</v>
      </c>
      <c r="E411" s="248">
        <v>3102.0</v>
      </c>
      <c r="F411" s="256">
        <v>45443.0</v>
      </c>
      <c r="G411" s="248">
        <v>2024.0</v>
      </c>
      <c r="H411" s="248" t="s">
        <v>513</v>
      </c>
      <c r="I411" s="248" t="s">
        <v>514</v>
      </c>
      <c r="J411" s="248" t="s">
        <v>297</v>
      </c>
      <c r="K411" s="249" t="s">
        <v>66</v>
      </c>
      <c r="L411" s="257" t="s">
        <v>523</v>
      </c>
      <c r="M411" s="249"/>
      <c r="N411" s="249"/>
      <c r="O411" s="249"/>
      <c r="P411" s="249"/>
      <c r="Q411" s="249"/>
      <c r="R411" s="249"/>
      <c r="S411" s="249"/>
      <c r="T411" s="249"/>
      <c r="U411" s="249"/>
      <c r="V411" s="249"/>
    </row>
    <row r="412">
      <c r="A412" s="255" t="s">
        <v>917</v>
      </c>
      <c r="B412" s="248" t="s">
        <v>75</v>
      </c>
      <c r="C412" s="248" t="s">
        <v>675</v>
      </c>
      <c r="D412" s="248" t="s">
        <v>512</v>
      </c>
      <c r="E412" s="248">
        <v>1383.0</v>
      </c>
      <c r="F412" s="256">
        <v>45443.0</v>
      </c>
      <c r="G412" s="248">
        <v>2024.0</v>
      </c>
      <c r="H412" s="248" t="s">
        <v>513</v>
      </c>
      <c r="I412" s="248" t="s">
        <v>521</v>
      </c>
      <c r="J412" s="248" t="s">
        <v>297</v>
      </c>
      <c r="K412" s="249" t="s">
        <v>66</v>
      </c>
      <c r="L412" s="257" t="s">
        <v>523</v>
      </c>
      <c r="M412" s="249"/>
      <c r="N412" s="249"/>
      <c r="O412" s="249"/>
      <c r="P412" s="249"/>
      <c r="Q412" s="249"/>
      <c r="R412" s="249"/>
      <c r="S412" s="249"/>
      <c r="T412" s="249"/>
      <c r="U412" s="249"/>
      <c r="V412" s="249"/>
    </row>
    <row r="413">
      <c r="A413" s="255" t="s">
        <v>1155</v>
      </c>
      <c r="B413" s="248" t="s">
        <v>542</v>
      </c>
      <c r="C413" s="248" t="s">
        <v>543</v>
      </c>
      <c r="D413" s="248" t="s">
        <v>512</v>
      </c>
      <c r="E413" s="248">
        <v>3205.0</v>
      </c>
      <c r="F413" s="256">
        <v>45439.0</v>
      </c>
      <c r="G413" s="248">
        <v>2024.0</v>
      </c>
      <c r="H413" s="248" t="s">
        <v>513</v>
      </c>
      <c r="I413" s="248" t="s">
        <v>514</v>
      </c>
      <c r="J413" s="248" t="s">
        <v>297</v>
      </c>
      <c r="K413" s="249" t="s">
        <v>66</v>
      </c>
      <c r="L413" s="257" t="s">
        <v>523</v>
      </c>
      <c r="M413" s="249"/>
      <c r="N413" s="249"/>
      <c r="O413" s="249"/>
      <c r="P413" s="249"/>
      <c r="Q413" s="249"/>
      <c r="R413" s="249"/>
      <c r="S413" s="249"/>
      <c r="T413" s="249"/>
      <c r="U413" s="249"/>
      <c r="V413" s="249"/>
    </row>
    <row r="414">
      <c r="A414" s="255" t="s">
        <v>1156</v>
      </c>
      <c r="B414" s="248" t="s">
        <v>573</v>
      </c>
      <c r="C414" s="248" t="s">
        <v>574</v>
      </c>
      <c r="D414" s="248" t="s">
        <v>575</v>
      </c>
      <c r="E414" s="248">
        <v>3414.0</v>
      </c>
      <c r="F414" s="256">
        <v>45436.0</v>
      </c>
      <c r="G414" s="248">
        <v>2024.0</v>
      </c>
      <c r="H414" s="248" t="s">
        <v>513</v>
      </c>
      <c r="I414" s="248" t="s">
        <v>521</v>
      </c>
      <c r="J414" s="248" t="s">
        <v>297</v>
      </c>
      <c r="K414" s="249" t="s">
        <v>66</v>
      </c>
      <c r="L414" s="257" t="s">
        <v>523</v>
      </c>
      <c r="M414" s="249"/>
      <c r="N414" s="249"/>
      <c r="O414" s="249"/>
      <c r="P414" s="249"/>
      <c r="Q414" s="249"/>
      <c r="R414" s="249"/>
      <c r="S414" s="249"/>
      <c r="T414" s="249"/>
      <c r="U414" s="249"/>
      <c r="V414" s="249"/>
    </row>
    <row r="415">
      <c r="A415" s="255" t="s">
        <v>1157</v>
      </c>
      <c r="B415" s="248" t="s">
        <v>573</v>
      </c>
      <c r="C415" s="248" t="s">
        <v>574</v>
      </c>
      <c r="D415" s="248" t="s">
        <v>512</v>
      </c>
      <c r="E415" s="248">
        <v>2356.0</v>
      </c>
      <c r="F415" s="256">
        <v>45436.0</v>
      </c>
      <c r="G415" s="248">
        <v>2024.0</v>
      </c>
      <c r="H415" s="248" t="s">
        <v>513</v>
      </c>
      <c r="I415" s="248" t="s">
        <v>514</v>
      </c>
      <c r="J415" s="248" t="s">
        <v>297</v>
      </c>
      <c r="K415" s="249" t="s">
        <v>66</v>
      </c>
      <c r="L415" s="257" t="s">
        <v>523</v>
      </c>
      <c r="M415" s="249"/>
      <c r="N415" s="249"/>
      <c r="O415" s="249"/>
      <c r="P415" s="249"/>
      <c r="Q415" s="249"/>
      <c r="R415" s="249"/>
      <c r="S415" s="249"/>
      <c r="T415" s="249"/>
      <c r="U415" s="249"/>
      <c r="V415" s="249"/>
    </row>
    <row r="416">
      <c r="A416" s="255" t="s">
        <v>1154</v>
      </c>
      <c r="B416" s="248" t="s">
        <v>688</v>
      </c>
      <c r="C416" s="248" t="s">
        <v>683</v>
      </c>
      <c r="D416" s="248" t="s">
        <v>512</v>
      </c>
      <c r="E416" s="248">
        <v>252214.0</v>
      </c>
      <c r="F416" s="256">
        <v>45436.0</v>
      </c>
      <c r="G416" s="248">
        <v>2024.0</v>
      </c>
      <c r="H416" s="248" t="s">
        <v>513</v>
      </c>
      <c r="I416" s="248" t="s">
        <v>514</v>
      </c>
      <c r="J416" s="248" t="s">
        <v>297</v>
      </c>
      <c r="K416" s="249" t="s">
        <v>66</v>
      </c>
      <c r="L416" s="257" t="s">
        <v>523</v>
      </c>
      <c r="M416" s="249"/>
      <c r="N416" s="249"/>
      <c r="O416" s="249"/>
      <c r="P416" s="249"/>
      <c r="Q416" s="249"/>
      <c r="R416" s="249"/>
      <c r="S416" s="249"/>
      <c r="T416" s="249"/>
      <c r="U416" s="249"/>
      <c r="V416" s="249"/>
    </row>
    <row r="417">
      <c r="A417" s="255" t="s">
        <v>1158</v>
      </c>
      <c r="B417" s="248" t="s">
        <v>886</v>
      </c>
      <c r="C417" s="248" t="s">
        <v>636</v>
      </c>
      <c r="D417" s="248" t="s">
        <v>520</v>
      </c>
      <c r="E417" s="248">
        <v>2812336.0</v>
      </c>
      <c r="F417" s="256">
        <v>45436.0</v>
      </c>
      <c r="G417" s="248">
        <v>2024.0</v>
      </c>
      <c r="H417" s="248" t="s">
        <v>513</v>
      </c>
      <c r="I417" s="248" t="s">
        <v>514</v>
      </c>
      <c r="J417" s="248" t="s">
        <v>309</v>
      </c>
      <c r="K417" s="249" t="s">
        <v>66</v>
      </c>
      <c r="L417" s="257" t="s">
        <v>523</v>
      </c>
      <c r="M417" s="249"/>
      <c r="N417" s="249"/>
      <c r="O417" s="249"/>
      <c r="P417" s="249"/>
      <c r="Q417" s="249"/>
      <c r="R417" s="249"/>
      <c r="S417" s="249"/>
      <c r="T417" s="249"/>
      <c r="U417" s="249"/>
      <c r="V417" s="249"/>
    </row>
    <row r="418">
      <c r="A418" s="255" t="s">
        <v>1159</v>
      </c>
      <c r="B418" s="248" t="s">
        <v>530</v>
      </c>
      <c r="C418" s="248" t="s">
        <v>531</v>
      </c>
      <c r="D418" s="248" t="s">
        <v>512</v>
      </c>
      <c r="E418" s="248">
        <v>108149.0</v>
      </c>
      <c r="F418" s="256">
        <v>45435.0</v>
      </c>
      <c r="G418" s="248">
        <v>2024.0</v>
      </c>
      <c r="H418" s="248" t="s">
        <v>513</v>
      </c>
      <c r="I418" s="248" t="s">
        <v>514</v>
      </c>
      <c r="J418" s="248" t="s">
        <v>297</v>
      </c>
      <c r="K418" s="249" t="s">
        <v>66</v>
      </c>
      <c r="L418" s="257" t="s">
        <v>523</v>
      </c>
      <c r="M418" s="249"/>
      <c r="N418" s="249"/>
      <c r="O418" s="249"/>
      <c r="P418" s="249"/>
      <c r="Q418" s="249"/>
      <c r="R418" s="249"/>
      <c r="S418" s="249"/>
      <c r="T418" s="249"/>
      <c r="U418" s="249"/>
      <c r="V418" s="249"/>
    </row>
    <row r="419">
      <c r="A419" s="255" t="s">
        <v>1160</v>
      </c>
      <c r="B419" s="248" t="s">
        <v>586</v>
      </c>
      <c r="C419" s="248" t="s">
        <v>587</v>
      </c>
      <c r="D419" s="248" t="s">
        <v>520</v>
      </c>
      <c r="E419" s="248">
        <v>81588.0</v>
      </c>
      <c r="F419" s="256">
        <v>45434.0</v>
      </c>
      <c r="G419" s="248">
        <v>2024.0</v>
      </c>
      <c r="H419" s="248" t="s">
        <v>513</v>
      </c>
      <c r="I419" s="248" t="s">
        <v>514</v>
      </c>
      <c r="J419" s="248" t="s">
        <v>309</v>
      </c>
      <c r="K419" s="249" t="s">
        <v>66</v>
      </c>
      <c r="L419" s="257" t="s">
        <v>523</v>
      </c>
      <c r="M419" s="249"/>
      <c r="N419" s="249"/>
      <c r="O419" s="249"/>
      <c r="P419" s="249"/>
      <c r="Q419" s="249"/>
      <c r="R419" s="249"/>
      <c r="S419" s="249"/>
      <c r="T419" s="249"/>
      <c r="U419" s="249"/>
      <c r="V419" s="249"/>
    </row>
    <row r="420">
      <c r="A420" s="255" t="s">
        <v>1161</v>
      </c>
      <c r="B420" s="248" t="s">
        <v>595</v>
      </c>
      <c r="C420" s="248" t="s">
        <v>596</v>
      </c>
      <c r="D420" s="248" t="s">
        <v>512</v>
      </c>
      <c r="E420" s="248">
        <v>1092.0</v>
      </c>
      <c r="F420" s="256">
        <v>45432.0</v>
      </c>
      <c r="G420" s="248">
        <v>2024.0</v>
      </c>
      <c r="H420" s="248" t="s">
        <v>546</v>
      </c>
      <c r="I420" s="248" t="s">
        <v>620</v>
      </c>
      <c r="J420" s="248" t="s">
        <v>297</v>
      </c>
      <c r="K420" s="249" t="s">
        <v>66</v>
      </c>
      <c r="L420" s="257" t="s">
        <v>523</v>
      </c>
      <c r="M420" s="249"/>
      <c r="N420" s="249"/>
      <c r="O420" s="249"/>
      <c r="P420" s="249"/>
      <c r="Q420" s="249"/>
      <c r="R420" s="249"/>
      <c r="S420" s="249"/>
      <c r="T420" s="249"/>
      <c r="U420" s="249"/>
      <c r="V420" s="249"/>
    </row>
    <row r="421">
      <c r="A421" s="255" t="s">
        <v>1162</v>
      </c>
      <c r="B421" s="248" t="s">
        <v>748</v>
      </c>
      <c r="C421" s="248" t="s">
        <v>694</v>
      </c>
      <c r="D421" s="248" t="s">
        <v>520</v>
      </c>
      <c r="E421" s="248">
        <v>16852.0</v>
      </c>
      <c r="F421" s="256">
        <v>45430.0</v>
      </c>
      <c r="G421" s="248">
        <v>2024.0</v>
      </c>
      <c r="H421" s="248" t="s">
        <v>513</v>
      </c>
      <c r="I421" s="248" t="s">
        <v>592</v>
      </c>
      <c r="J421" s="248" t="s">
        <v>309</v>
      </c>
      <c r="K421" s="249" t="s">
        <v>66</v>
      </c>
      <c r="L421" s="257" t="s">
        <v>523</v>
      </c>
      <c r="M421" s="249"/>
      <c r="N421" s="249"/>
      <c r="O421" s="249"/>
      <c r="P421" s="249"/>
      <c r="Q421" s="249"/>
      <c r="R421" s="249"/>
      <c r="S421" s="249"/>
      <c r="T421" s="249"/>
      <c r="U421" s="249"/>
      <c r="V421" s="249"/>
    </row>
    <row r="422">
      <c r="A422" s="255" t="s">
        <v>1163</v>
      </c>
      <c r="B422" s="248" t="s">
        <v>679</v>
      </c>
      <c r="C422" s="248" t="s">
        <v>663</v>
      </c>
      <c r="D422" s="248" t="s">
        <v>512</v>
      </c>
      <c r="E422" s="248">
        <v>400000.0</v>
      </c>
      <c r="F422" s="256">
        <v>45429.0</v>
      </c>
      <c r="G422" s="248">
        <v>2024.0</v>
      </c>
      <c r="H422" s="248" t="s">
        <v>513</v>
      </c>
      <c r="I422" s="248" t="s">
        <v>514</v>
      </c>
      <c r="J422" s="248" t="s">
        <v>297</v>
      </c>
      <c r="K422" s="249" t="s">
        <v>66</v>
      </c>
      <c r="L422" s="257" t="s">
        <v>523</v>
      </c>
      <c r="M422" s="249"/>
      <c r="N422" s="249"/>
      <c r="O422" s="249"/>
      <c r="P422" s="249"/>
      <c r="Q422" s="249"/>
      <c r="R422" s="249"/>
      <c r="S422" s="249"/>
      <c r="T422" s="249"/>
      <c r="U422" s="249"/>
      <c r="V422" s="249"/>
    </row>
    <row r="423">
      <c r="A423" s="255" t="s">
        <v>1164</v>
      </c>
      <c r="B423" s="248" t="s">
        <v>679</v>
      </c>
      <c r="C423" s="248" t="s">
        <v>663</v>
      </c>
      <c r="D423" s="248" t="s">
        <v>512</v>
      </c>
      <c r="E423" s="248">
        <v>80000.0</v>
      </c>
      <c r="F423" s="256">
        <v>45429.0</v>
      </c>
      <c r="G423" s="248">
        <v>2024.0</v>
      </c>
      <c r="H423" s="248" t="s">
        <v>513</v>
      </c>
      <c r="I423" s="248" t="s">
        <v>514</v>
      </c>
      <c r="J423" s="248" t="s">
        <v>297</v>
      </c>
      <c r="K423" s="249" t="s">
        <v>66</v>
      </c>
      <c r="L423" s="257" t="s">
        <v>523</v>
      </c>
      <c r="M423" s="249"/>
      <c r="N423" s="249"/>
      <c r="O423" s="249"/>
      <c r="P423" s="249"/>
      <c r="Q423" s="249"/>
      <c r="R423" s="249"/>
      <c r="S423" s="249"/>
      <c r="T423" s="249"/>
      <c r="U423" s="249"/>
      <c r="V423" s="249"/>
    </row>
    <row r="424">
      <c r="A424" s="255" t="s">
        <v>1165</v>
      </c>
      <c r="B424" s="248" t="s">
        <v>590</v>
      </c>
      <c r="C424" s="248" t="s">
        <v>591</v>
      </c>
      <c r="D424" s="248" t="s">
        <v>512</v>
      </c>
      <c r="E424" s="248">
        <v>21537.0</v>
      </c>
      <c r="F424" s="256">
        <v>45428.0</v>
      </c>
      <c r="G424" s="248">
        <v>2024.0</v>
      </c>
      <c r="H424" s="248" t="s">
        <v>513</v>
      </c>
      <c r="I424" s="248" t="s">
        <v>514</v>
      </c>
      <c r="J424" s="248" t="s">
        <v>297</v>
      </c>
      <c r="K424" s="249" t="s">
        <v>66</v>
      </c>
      <c r="L424" s="257" t="s">
        <v>523</v>
      </c>
      <c r="M424" s="249"/>
      <c r="N424" s="249"/>
      <c r="O424" s="249"/>
      <c r="P424" s="249"/>
      <c r="Q424" s="249"/>
      <c r="R424" s="249"/>
      <c r="S424" s="249"/>
      <c r="T424" s="249"/>
      <c r="U424" s="249"/>
      <c r="V424" s="249"/>
    </row>
    <row r="425">
      <c r="A425" s="255" t="s">
        <v>1166</v>
      </c>
      <c r="B425" s="248" t="s">
        <v>668</v>
      </c>
      <c r="C425" s="248" t="s">
        <v>669</v>
      </c>
      <c r="D425" s="248" t="s">
        <v>520</v>
      </c>
      <c r="E425" s="248">
        <v>1035.0</v>
      </c>
      <c r="F425" s="256">
        <v>45427.0</v>
      </c>
      <c r="G425" s="248">
        <v>2024.0</v>
      </c>
      <c r="H425" s="248" t="s">
        <v>513</v>
      </c>
      <c r="I425" s="248" t="s">
        <v>521</v>
      </c>
      <c r="J425" s="248" t="s">
        <v>309</v>
      </c>
      <c r="K425" s="249" t="s">
        <v>66</v>
      </c>
      <c r="L425" s="257" t="s">
        <v>523</v>
      </c>
      <c r="M425" s="249"/>
      <c r="N425" s="249"/>
      <c r="O425" s="249"/>
      <c r="P425" s="249"/>
      <c r="Q425" s="249"/>
      <c r="R425" s="249"/>
      <c r="S425" s="249"/>
      <c r="T425" s="249"/>
      <c r="U425" s="249"/>
      <c r="V425" s="249"/>
    </row>
    <row r="426">
      <c r="A426" s="255" t="s">
        <v>1167</v>
      </c>
      <c r="B426" s="248" t="s">
        <v>688</v>
      </c>
      <c r="C426" s="248" t="s">
        <v>683</v>
      </c>
      <c r="D426" s="248" t="s">
        <v>512</v>
      </c>
      <c r="E426" s="248">
        <v>1098.0</v>
      </c>
      <c r="F426" s="256">
        <v>45426.0</v>
      </c>
      <c r="G426" s="248">
        <v>2024.0</v>
      </c>
      <c r="H426" s="248" t="s">
        <v>513</v>
      </c>
      <c r="I426" s="248" t="s">
        <v>521</v>
      </c>
      <c r="J426" s="248" t="s">
        <v>297</v>
      </c>
      <c r="K426" s="249" t="s">
        <v>66</v>
      </c>
      <c r="L426" s="257" t="s">
        <v>523</v>
      </c>
      <c r="M426" s="249"/>
      <c r="N426" s="249"/>
      <c r="O426" s="249"/>
      <c r="P426" s="249"/>
      <c r="Q426" s="249"/>
      <c r="R426" s="249"/>
      <c r="S426" s="249"/>
      <c r="T426" s="249"/>
      <c r="U426" s="249"/>
      <c r="V426" s="249"/>
    </row>
    <row r="427">
      <c r="A427" s="255" t="s">
        <v>1168</v>
      </c>
      <c r="B427" s="248" t="s">
        <v>688</v>
      </c>
      <c r="C427" s="248" t="s">
        <v>683</v>
      </c>
      <c r="D427" s="248" t="s">
        <v>512</v>
      </c>
      <c r="E427" s="248">
        <v>39491.0</v>
      </c>
      <c r="F427" s="256">
        <v>45426.0</v>
      </c>
      <c r="G427" s="248">
        <v>2024.0</v>
      </c>
      <c r="H427" s="248" t="s">
        <v>513</v>
      </c>
      <c r="I427" s="248" t="s">
        <v>928</v>
      </c>
      <c r="J427" s="248" t="s">
        <v>297</v>
      </c>
      <c r="K427" s="249" t="s">
        <v>66</v>
      </c>
      <c r="L427" s="257" t="s">
        <v>523</v>
      </c>
      <c r="M427" s="249"/>
      <c r="N427" s="249"/>
      <c r="O427" s="249"/>
      <c r="P427" s="249"/>
      <c r="Q427" s="249"/>
      <c r="R427" s="249"/>
      <c r="S427" s="249"/>
      <c r="T427" s="249"/>
      <c r="U427" s="249"/>
      <c r="V427" s="249"/>
    </row>
    <row r="428">
      <c r="A428" s="255" t="s">
        <v>1169</v>
      </c>
      <c r="B428" s="248" t="s">
        <v>924</v>
      </c>
      <c r="C428" s="248" t="s">
        <v>725</v>
      </c>
      <c r="D428" s="248" t="s">
        <v>512</v>
      </c>
      <c r="E428" s="248">
        <v>1427.0</v>
      </c>
      <c r="F428" s="256">
        <v>45426.0</v>
      </c>
      <c r="G428" s="248">
        <v>2024.0</v>
      </c>
      <c r="H428" s="248" t="s">
        <v>546</v>
      </c>
      <c r="I428" s="248" t="s">
        <v>618</v>
      </c>
      <c r="J428" s="248" t="s">
        <v>297</v>
      </c>
      <c r="K428" s="249" t="s">
        <v>66</v>
      </c>
      <c r="L428" s="257" t="s">
        <v>523</v>
      </c>
      <c r="M428" s="249"/>
      <c r="N428" s="249"/>
      <c r="O428" s="249"/>
      <c r="P428" s="249"/>
      <c r="Q428" s="249"/>
      <c r="R428" s="249"/>
      <c r="S428" s="249"/>
      <c r="T428" s="249"/>
      <c r="U428" s="249"/>
      <c r="V428" s="249"/>
    </row>
    <row r="429">
      <c r="A429" s="255" t="s">
        <v>1170</v>
      </c>
      <c r="B429" s="248" t="s">
        <v>586</v>
      </c>
      <c r="C429" s="248" t="s">
        <v>587</v>
      </c>
      <c r="D429" s="248" t="s">
        <v>512</v>
      </c>
      <c r="E429" s="248">
        <v>858238.0</v>
      </c>
      <c r="F429" s="256">
        <v>45422.0</v>
      </c>
      <c r="G429" s="248">
        <v>2024.0</v>
      </c>
      <c r="H429" s="248" t="s">
        <v>513</v>
      </c>
      <c r="I429" s="248" t="s">
        <v>514</v>
      </c>
      <c r="J429" s="248" t="s">
        <v>297</v>
      </c>
      <c r="K429" s="249" t="s">
        <v>66</v>
      </c>
      <c r="L429" s="257" t="s">
        <v>523</v>
      </c>
      <c r="M429" s="249"/>
      <c r="N429" s="249"/>
      <c r="O429" s="249"/>
      <c r="P429" s="249"/>
      <c r="Q429" s="249"/>
      <c r="R429" s="249"/>
      <c r="S429" s="249"/>
      <c r="T429" s="249"/>
      <c r="U429" s="249"/>
      <c r="V429" s="249"/>
    </row>
    <row r="430">
      <c r="A430" s="255" t="s">
        <v>1171</v>
      </c>
      <c r="B430" s="248" t="s">
        <v>679</v>
      </c>
      <c r="C430" s="248" t="s">
        <v>663</v>
      </c>
      <c r="D430" s="248" t="s">
        <v>512</v>
      </c>
      <c r="E430" s="248">
        <v>16394.0</v>
      </c>
      <c r="F430" s="256">
        <v>45421.0</v>
      </c>
      <c r="G430" s="248">
        <v>2024.0</v>
      </c>
      <c r="H430" s="248" t="s">
        <v>513</v>
      </c>
      <c r="I430" s="248" t="s">
        <v>514</v>
      </c>
      <c r="J430" s="248" t="s">
        <v>297</v>
      </c>
      <c r="K430" s="249" t="s">
        <v>66</v>
      </c>
      <c r="L430" s="257" t="s">
        <v>523</v>
      </c>
      <c r="M430" s="249"/>
      <c r="N430" s="249"/>
      <c r="O430" s="249"/>
      <c r="P430" s="249"/>
      <c r="Q430" s="249"/>
      <c r="R430" s="249"/>
      <c r="S430" s="249"/>
      <c r="T430" s="249"/>
      <c r="U430" s="249"/>
      <c r="V430" s="249"/>
    </row>
    <row r="431">
      <c r="A431" s="255" t="s">
        <v>1172</v>
      </c>
      <c r="B431" s="248" t="s">
        <v>679</v>
      </c>
      <c r="C431" s="248" t="s">
        <v>663</v>
      </c>
      <c r="D431" s="248" t="s">
        <v>520</v>
      </c>
      <c r="E431" s="248">
        <v>2518533.0</v>
      </c>
      <c r="F431" s="256">
        <v>45420.0</v>
      </c>
      <c r="G431" s="248">
        <v>2024.0</v>
      </c>
      <c r="H431" s="248" t="s">
        <v>513</v>
      </c>
      <c r="I431" s="248" t="s">
        <v>514</v>
      </c>
      <c r="J431" s="248" t="s">
        <v>309</v>
      </c>
      <c r="K431" s="249" t="s">
        <v>66</v>
      </c>
      <c r="L431" s="257" t="s">
        <v>523</v>
      </c>
      <c r="M431" s="249"/>
      <c r="N431" s="249"/>
      <c r="O431" s="249"/>
      <c r="P431" s="249"/>
      <c r="Q431" s="249"/>
      <c r="R431" s="249"/>
      <c r="S431" s="249"/>
      <c r="T431" s="249"/>
      <c r="U431" s="249"/>
      <c r="V431" s="249"/>
    </row>
    <row r="432">
      <c r="A432" s="255" t="s">
        <v>1173</v>
      </c>
      <c r="B432" s="248" t="s">
        <v>553</v>
      </c>
      <c r="C432" s="248" t="s">
        <v>554</v>
      </c>
      <c r="D432" s="248" t="s">
        <v>512</v>
      </c>
      <c r="E432" s="248">
        <v>2700.0</v>
      </c>
      <c r="F432" s="256">
        <v>45420.0</v>
      </c>
      <c r="G432" s="248">
        <v>2024.0</v>
      </c>
      <c r="H432" s="248" t="s">
        <v>546</v>
      </c>
      <c r="I432" s="248" t="s">
        <v>561</v>
      </c>
      <c r="J432" s="248" t="s">
        <v>297</v>
      </c>
      <c r="K432" s="249" t="s">
        <v>66</v>
      </c>
      <c r="L432" s="257" t="s">
        <v>523</v>
      </c>
      <c r="M432" s="249"/>
      <c r="N432" s="249"/>
      <c r="O432" s="249"/>
      <c r="P432" s="249"/>
      <c r="Q432" s="249"/>
      <c r="R432" s="249"/>
      <c r="S432" s="249"/>
      <c r="T432" s="249"/>
      <c r="U432" s="249"/>
      <c r="V432" s="249"/>
    </row>
    <row r="433">
      <c r="A433" s="255" t="s">
        <v>1174</v>
      </c>
      <c r="B433" s="248" t="s">
        <v>542</v>
      </c>
      <c r="C433" s="248" t="s">
        <v>543</v>
      </c>
      <c r="D433" s="248" t="s">
        <v>512</v>
      </c>
      <c r="E433" s="248">
        <v>2101.0</v>
      </c>
      <c r="F433" s="256">
        <v>45420.0</v>
      </c>
      <c r="G433" s="248">
        <v>2024.0</v>
      </c>
      <c r="H433" s="248" t="s">
        <v>546</v>
      </c>
      <c r="I433" s="248" t="s">
        <v>521</v>
      </c>
      <c r="J433" s="248" t="s">
        <v>297</v>
      </c>
      <c r="K433" s="249" t="s">
        <v>66</v>
      </c>
      <c r="L433" s="257" t="s">
        <v>523</v>
      </c>
      <c r="M433" s="249"/>
      <c r="N433" s="249"/>
      <c r="O433" s="249"/>
      <c r="P433" s="249"/>
      <c r="Q433" s="249"/>
      <c r="R433" s="249"/>
      <c r="S433" s="249"/>
      <c r="T433" s="249"/>
      <c r="U433" s="249"/>
      <c r="V433" s="249"/>
    </row>
    <row r="434">
      <c r="A434" s="255" t="s">
        <v>1175</v>
      </c>
      <c r="B434" s="248" t="s">
        <v>75</v>
      </c>
      <c r="C434" s="248" t="s">
        <v>675</v>
      </c>
      <c r="D434" s="248" t="s">
        <v>512</v>
      </c>
      <c r="E434" s="248">
        <v>1019.0</v>
      </c>
      <c r="F434" s="256">
        <v>45420.0</v>
      </c>
      <c r="G434" s="248">
        <v>2024.0</v>
      </c>
      <c r="H434" s="248" t="s">
        <v>546</v>
      </c>
      <c r="I434" s="248" t="s">
        <v>521</v>
      </c>
      <c r="J434" s="248" t="s">
        <v>297</v>
      </c>
      <c r="K434" s="249" t="s">
        <v>66</v>
      </c>
      <c r="L434" s="257" t="s">
        <v>523</v>
      </c>
      <c r="M434" s="249"/>
      <c r="N434" s="249"/>
      <c r="O434" s="249"/>
      <c r="P434" s="249"/>
      <c r="Q434" s="249"/>
      <c r="R434" s="249"/>
      <c r="S434" s="249"/>
      <c r="T434" s="249"/>
      <c r="U434" s="249"/>
      <c r="V434" s="249"/>
    </row>
    <row r="435">
      <c r="A435" s="255" t="s">
        <v>1176</v>
      </c>
      <c r="B435" s="248" t="s">
        <v>542</v>
      </c>
      <c r="C435" s="248" t="s">
        <v>543</v>
      </c>
      <c r="D435" s="248" t="s">
        <v>512</v>
      </c>
      <c r="E435" s="248">
        <v>280278.0</v>
      </c>
      <c r="F435" s="256">
        <v>45420.0</v>
      </c>
      <c r="G435" s="248">
        <v>2024.0</v>
      </c>
      <c r="H435" s="248" t="s">
        <v>513</v>
      </c>
      <c r="I435" s="248" t="s">
        <v>514</v>
      </c>
      <c r="J435" s="248" t="s">
        <v>297</v>
      </c>
      <c r="K435" s="249" t="s">
        <v>66</v>
      </c>
      <c r="L435" s="257" t="s">
        <v>523</v>
      </c>
      <c r="M435" s="249"/>
      <c r="N435" s="249"/>
      <c r="O435" s="249"/>
      <c r="P435" s="249"/>
      <c r="Q435" s="249"/>
      <c r="R435" s="249"/>
      <c r="S435" s="249"/>
      <c r="T435" s="249"/>
      <c r="U435" s="249"/>
      <c r="V435" s="249"/>
    </row>
    <row r="436">
      <c r="A436" s="255" t="s">
        <v>517</v>
      </c>
      <c r="B436" s="248" t="s">
        <v>518</v>
      </c>
      <c r="C436" s="248" t="s">
        <v>519</v>
      </c>
      <c r="D436" s="248" t="s">
        <v>520</v>
      </c>
      <c r="E436" s="248">
        <v>5445.0</v>
      </c>
      <c r="F436" s="256">
        <v>45415.0</v>
      </c>
      <c r="G436" s="248">
        <v>2024.0</v>
      </c>
      <c r="H436" s="248" t="s">
        <v>513</v>
      </c>
      <c r="I436" s="248" t="s">
        <v>521</v>
      </c>
      <c r="J436" s="248" t="s">
        <v>309</v>
      </c>
      <c r="K436" s="249" t="s">
        <v>66</v>
      </c>
      <c r="L436" s="257" t="s">
        <v>523</v>
      </c>
      <c r="M436" s="249"/>
      <c r="N436" s="249"/>
      <c r="O436" s="249"/>
      <c r="P436" s="249"/>
      <c r="Q436" s="249"/>
      <c r="R436" s="249"/>
      <c r="S436" s="249"/>
      <c r="T436" s="249"/>
      <c r="U436" s="249"/>
      <c r="V436" s="249"/>
    </row>
    <row r="437">
      <c r="A437" s="255" t="s">
        <v>898</v>
      </c>
      <c r="B437" s="248" t="s">
        <v>534</v>
      </c>
      <c r="C437" s="248" t="s">
        <v>535</v>
      </c>
      <c r="D437" s="248" t="s">
        <v>575</v>
      </c>
      <c r="E437" s="248">
        <v>9191.0</v>
      </c>
      <c r="F437" s="256">
        <v>45415.0</v>
      </c>
      <c r="G437" s="248">
        <v>2024.0</v>
      </c>
      <c r="H437" s="248" t="s">
        <v>513</v>
      </c>
      <c r="I437" s="248" t="s">
        <v>514</v>
      </c>
      <c r="J437" s="248" t="s">
        <v>309</v>
      </c>
      <c r="K437" s="249" t="s">
        <v>66</v>
      </c>
      <c r="L437" s="257" t="s">
        <v>523</v>
      </c>
      <c r="M437" s="249"/>
      <c r="N437" s="249"/>
      <c r="O437" s="249"/>
      <c r="P437" s="249"/>
      <c r="Q437" s="249"/>
      <c r="R437" s="249"/>
      <c r="S437" s="249"/>
      <c r="T437" s="249"/>
      <c r="U437" s="249"/>
      <c r="V437" s="249"/>
    </row>
    <row r="438">
      <c r="A438" s="255" t="s">
        <v>1177</v>
      </c>
      <c r="B438" s="248" t="s">
        <v>810</v>
      </c>
      <c r="C438" s="248" t="s">
        <v>655</v>
      </c>
      <c r="D438" s="248" t="s">
        <v>512</v>
      </c>
      <c r="E438" s="248">
        <v>183079.0</v>
      </c>
      <c r="F438" s="256">
        <v>45415.0</v>
      </c>
      <c r="G438" s="248">
        <v>2024.0</v>
      </c>
      <c r="H438" s="248" t="s">
        <v>513</v>
      </c>
      <c r="I438" s="248" t="s">
        <v>521</v>
      </c>
      <c r="J438" s="248" t="s">
        <v>297</v>
      </c>
      <c r="K438" s="249" t="s">
        <v>66</v>
      </c>
      <c r="L438" s="257" t="s">
        <v>523</v>
      </c>
      <c r="M438" s="249"/>
      <c r="N438" s="249"/>
      <c r="O438" s="249"/>
      <c r="P438" s="249"/>
      <c r="Q438" s="249"/>
      <c r="R438" s="249"/>
      <c r="S438" s="249"/>
      <c r="T438" s="249"/>
      <c r="U438" s="249"/>
      <c r="V438" s="249"/>
    </row>
    <row r="439">
      <c r="A439" s="255" t="s">
        <v>1178</v>
      </c>
      <c r="B439" s="248" t="s">
        <v>75</v>
      </c>
      <c r="C439" s="248" t="s">
        <v>675</v>
      </c>
      <c r="D439" s="248" t="s">
        <v>512</v>
      </c>
      <c r="E439" s="248">
        <v>602265.0</v>
      </c>
      <c r="F439" s="256">
        <v>45413.0</v>
      </c>
      <c r="G439" s="248">
        <v>2024.0</v>
      </c>
      <c r="H439" s="248" t="s">
        <v>513</v>
      </c>
      <c r="I439" s="248" t="s">
        <v>514</v>
      </c>
      <c r="J439" s="248" t="s">
        <v>297</v>
      </c>
      <c r="K439" s="249" t="s">
        <v>66</v>
      </c>
      <c r="L439" s="257" t="s">
        <v>523</v>
      </c>
      <c r="M439" s="249"/>
      <c r="N439" s="249"/>
      <c r="O439" s="249"/>
      <c r="P439" s="249"/>
      <c r="Q439" s="249"/>
      <c r="R439" s="249"/>
      <c r="S439" s="249"/>
      <c r="T439" s="249"/>
      <c r="U439" s="249"/>
      <c r="V439" s="249"/>
    </row>
    <row r="440">
      <c r="A440" s="255" t="s">
        <v>1179</v>
      </c>
      <c r="B440" s="248" t="s">
        <v>534</v>
      </c>
      <c r="C440" s="248" t="s">
        <v>535</v>
      </c>
      <c r="D440" s="248" t="s">
        <v>520</v>
      </c>
      <c r="E440" s="248">
        <v>16665.0</v>
      </c>
      <c r="F440" s="256">
        <v>45413.0</v>
      </c>
      <c r="G440" s="248">
        <v>2024.0</v>
      </c>
      <c r="H440" s="248" t="s">
        <v>546</v>
      </c>
      <c r="I440" s="248" t="s">
        <v>547</v>
      </c>
      <c r="J440" s="248" t="s">
        <v>309</v>
      </c>
      <c r="K440" s="249" t="s">
        <v>66</v>
      </c>
      <c r="L440" s="257" t="s">
        <v>523</v>
      </c>
      <c r="M440" s="249"/>
      <c r="N440" s="249"/>
      <c r="O440" s="249"/>
      <c r="P440" s="249"/>
      <c r="Q440" s="249"/>
      <c r="R440" s="249"/>
      <c r="S440" s="249"/>
      <c r="T440" s="249"/>
      <c r="U440" s="249"/>
      <c r="V440" s="249"/>
    </row>
    <row r="441">
      <c r="A441" s="255" t="s">
        <v>1180</v>
      </c>
      <c r="B441" s="248" t="s">
        <v>530</v>
      </c>
      <c r="C441" s="248" t="s">
        <v>531</v>
      </c>
      <c r="D441" s="248" t="s">
        <v>520</v>
      </c>
      <c r="E441" s="248">
        <v>14696.0</v>
      </c>
      <c r="F441" s="256">
        <v>45409.0</v>
      </c>
      <c r="G441" s="248">
        <v>2024.0</v>
      </c>
      <c r="H441" s="248" t="s">
        <v>513</v>
      </c>
      <c r="I441" s="248" t="s">
        <v>514</v>
      </c>
      <c r="J441" s="248" t="s">
        <v>309</v>
      </c>
      <c r="K441" s="249" t="s">
        <v>66</v>
      </c>
      <c r="L441" s="257" t="s">
        <v>523</v>
      </c>
      <c r="M441" s="249"/>
      <c r="N441" s="249"/>
      <c r="O441" s="249"/>
      <c r="P441" s="249"/>
      <c r="Q441" s="249"/>
      <c r="R441" s="249"/>
      <c r="S441" s="249"/>
      <c r="T441" s="249"/>
      <c r="U441" s="249"/>
      <c r="V441" s="249"/>
    </row>
    <row r="442">
      <c r="A442" s="255" t="s">
        <v>1181</v>
      </c>
      <c r="B442" s="248" t="s">
        <v>530</v>
      </c>
      <c r="C442" s="248" t="s">
        <v>531</v>
      </c>
      <c r="D442" s="248" t="s">
        <v>512</v>
      </c>
      <c r="E442" s="248">
        <v>9309.0</v>
      </c>
      <c r="F442" s="256">
        <v>45408.0</v>
      </c>
      <c r="G442" s="248">
        <v>2024.0</v>
      </c>
      <c r="H442" s="248" t="s">
        <v>546</v>
      </c>
      <c r="I442" s="248" t="s">
        <v>592</v>
      </c>
      <c r="J442" s="248" t="s">
        <v>297</v>
      </c>
      <c r="K442" s="249" t="s">
        <v>66</v>
      </c>
      <c r="L442" s="257" t="s">
        <v>523</v>
      </c>
      <c r="M442" s="249"/>
      <c r="N442" s="249"/>
      <c r="O442" s="249"/>
      <c r="P442" s="249"/>
      <c r="Q442" s="249"/>
      <c r="R442" s="249"/>
      <c r="S442" s="249"/>
      <c r="T442" s="249"/>
      <c r="U442" s="249"/>
      <c r="V442" s="249"/>
    </row>
    <row r="443">
      <c r="A443" s="255" t="s">
        <v>1182</v>
      </c>
      <c r="B443" s="248" t="s">
        <v>679</v>
      </c>
      <c r="C443" s="248" t="s">
        <v>663</v>
      </c>
      <c r="D443" s="248" t="s">
        <v>520</v>
      </c>
      <c r="E443" s="248">
        <v>180000.0</v>
      </c>
      <c r="F443" s="256">
        <v>45408.0</v>
      </c>
      <c r="G443" s="248">
        <v>2024.0</v>
      </c>
      <c r="H443" s="248" t="s">
        <v>513</v>
      </c>
      <c r="I443" s="248" t="s">
        <v>514</v>
      </c>
      <c r="J443" s="248" t="s">
        <v>309</v>
      </c>
      <c r="K443" s="249" t="s">
        <v>66</v>
      </c>
      <c r="L443" s="257" t="s">
        <v>523</v>
      </c>
      <c r="M443" s="249"/>
      <c r="N443" s="249"/>
      <c r="O443" s="249"/>
      <c r="P443" s="249"/>
      <c r="Q443" s="249"/>
      <c r="R443" s="249"/>
      <c r="S443" s="249"/>
      <c r="T443" s="249"/>
      <c r="U443" s="249"/>
      <c r="V443" s="249"/>
    </row>
    <row r="444">
      <c r="A444" s="255" t="s">
        <v>1183</v>
      </c>
      <c r="B444" s="248" t="s">
        <v>586</v>
      </c>
      <c r="C444" s="248" t="s">
        <v>587</v>
      </c>
      <c r="D444" s="248" t="s">
        <v>512</v>
      </c>
      <c r="E444" s="248">
        <v>2297.0</v>
      </c>
      <c r="F444" s="256">
        <v>45408.0</v>
      </c>
      <c r="G444" s="248">
        <v>2024.0</v>
      </c>
      <c r="H444" s="248" t="s">
        <v>513</v>
      </c>
      <c r="I444" s="248" t="s">
        <v>521</v>
      </c>
      <c r="J444" s="248" t="s">
        <v>297</v>
      </c>
      <c r="K444" s="249" t="s">
        <v>66</v>
      </c>
      <c r="L444" s="257" t="s">
        <v>523</v>
      </c>
      <c r="M444" s="249"/>
      <c r="N444" s="249"/>
      <c r="O444" s="249"/>
      <c r="P444" s="249"/>
      <c r="Q444" s="249"/>
      <c r="R444" s="249"/>
      <c r="S444" s="249"/>
      <c r="T444" s="249"/>
      <c r="U444" s="249"/>
      <c r="V444" s="249"/>
    </row>
    <row r="445">
      <c r="A445" s="255" t="s">
        <v>1184</v>
      </c>
      <c r="B445" s="248" t="s">
        <v>590</v>
      </c>
      <c r="C445" s="248" t="s">
        <v>591</v>
      </c>
      <c r="D445" s="248" t="s">
        <v>512</v>
      </c>
      <c r="E445" s="248">
        <v>17490.0</v>
      </c>
      <c r="F445" s="256">
        <v>45408.0</v>
      </c>
      <c r="G445" s="248">
        <v>2024.0</v>
      </c>
      <c r="H445" s="248" t="s">
        <v>513</v>
      </c>
      <c r="I445" s="248" t="s">
        <v>514</v>
      </c>
      <c r="J445" s="248" t="s">
        <v>297</v>
      </c>
      <c r="K445" s="249" t="s">
        <v>66</v>
      </c>
      <c r="L445" s="257" t="s">
        <v>523</v>
      </c>
      <c r="M445" s="249"/>
      <c r="N445" s="249"/>
      <c r="O445" s="249"/>
      <c r="P445" s="249"/>
      <c r="Q445" s="249"/>
      <c r="R445" s="249"/>
      <c r="S445" s="249"/>
      <c r="T445" s="249"/>
      <c r="U445" s="249"/>
      <c r="V445" s="249"/>
    </row>
    <row r="446">
      <c r="A446" s="255" t="s">
        <v>1185</v>
      </c>
      <c r="B446" s="248" t="s">
        <v>590</v>
      </c>
      <c r="C446" s="248" t="s">
        <v>591</v>
      </c>
      <c r="D446" s="248" t="s">
        <v>512</v>
      </c>
      <c r="E446" s="248">
        <v>23118.0</v>
      </c>
      <c r="F446" s="256">
        <v>45408.0</v>
      </c>
      <c r="G446" s="248">
        <v>2024.0</v>
      </c>
      <c r="H446" s="248" t="s">
        <v>513</v>
      </c>
      <c r="I446" s="248" t="s">
        <v>514</v>
      </c>
      <c r="J446" s="248" t="s">
        <v>297</v>
      </c>
      <c r="K446" s="249" t="s">
        <v>66</v>
      </c>
      <c r="L446" s="257" t="s">
        <v>523</v>
      </c>
      <c r="M446" s="249"/>
      <c r="N446" s="249"/>
      <c r="O446" s="249"/>
      <c r="P446" s="249"/>
      <c r="Q446" s="249"/>
      <c r="R446" s="249"/>
      <c r="S446" s="249"/>
      <c r="T446" s="249"/>
      <c r="U446" s="249"/>
      <c r="V446" s="249"/>
    </row>
    <row r="447">
      <c r="A447" s="255" t="s">
        <v>1186</v>
      </c>
      <c r="B447" s="248" t="s">
        <v>542</v>
      </c>
      <c r="C447" s="248" t="s">
        <v>543</v>
      </c>
      <c r="D447" s="248" t="s">
        <v>512</v>
      </c>
      <c r="E447" s="248">
        <v>5545.0</v>
      </c>
      <c r="F447" s="256">
        <v>45407.0</v>
      </c>
      <c r="G447" s="248">
        <v>2024.0</v>
      </c>
      <c r="H447" s="248" t="s">
        <v>513</v>
      </c>
      <c r="I447" s="248" t="s">
        <v>521</v>
      </c>
      <c r="J447" s="248" t="s">
        <v>297</v>
      </c>
      <c r="K447" s="249" t="s">
        <v>66</v>
      </c>
      <c r="L447" s="257" t="s">
        <v>523</v>
      </c>
      <c r="M447" s="249"/>
      <c r="N447" s="249"/>
      <c r="O447" s="249"/>
      <c r="P447" s="249"/>
      <c r="Q447" s="249"/>
      <c r="R447" s="249"/>
      <c r="S447" s="249"/>
      <c r="T447" s="249"/>
      <c r="U447" s="249"/>
      <c r="V447" s="249"/>
    </row>
    <row r="448">
      <c r="A448" s="255" t="s">
        <v>1187</v>
      </c>
      <c r="B448" s="248" t="s">
        <v>530</v>
      </c>
      <c r="C448" s="248" t="s">
        <v>531</v>
      </c>
      <c r="D448" s="248" t="s">
        <v>512</v>
      </c>
      <c r="E448" s="248">
        <v>252856.0</v>
      </c>
      <c r="F448" s="256">
        <v>45407.0</v>
      </c>
      <c r="G448" s="248">
        <v>2024.0</v>
      </c>
      <c r="H448" s="248" t="s">
        <v>513</v>
      </c>
      <c r="I448" s="248" t="s">
        <v>521</v>
      </c>
      <c r="J448" s="248" t="s">
        <v>297</v>
      </c>
      <c r="K448" s="249" t="s">
        <v>66</v>
      </c>
      <c r="L448" s="257" t="s">
        <v>523</v>
      </c>
      <c r="M448" s="249"/>
      <c r="N448" s="249"/>
      <c r="O448" s="249"/>
      <c r="P448" s="249"/>
      <c r="Q448" s="249"/>
      <c r="R448" s="249"/>
      <c r="S448" s="249"/>
      <c r="T448" s="249"/>
      <c r="U448" s="249"/>
      <c r="V448" s="249"/>
    </row>
    <row r="449">
      <c r="A449" s="255" t="s">
        <v>1188</v>
      </c>
      <c r="B449" s="248" t="s">
        <v>1189</v>
      </c>
      <c r="C449" s="248" t="s">
        <v>666</v>
      </c>
      <c r="D449" s="248" t="s">
        <v>512</v>
      </c>
      <c r="E449" s="248">
        <v>464088.0</v>
      </c>
      <c r="F449" s="256">
        <v>45406.0</v>
      </c>
      <c r="G449" s="248">
        <v>2024.0</v>
      </c>
      <c r="H449" s="248" t="s">
        <v>513</v>
      </c>
      <c r="I449" s="248" t="s">
        <v>514</v>
      </c>
      <c r="J449" s="248" t="s">
        <v>297</v>
      </c>
      <c r="K449" s="249" t="s">
        <v>66</v>
      </c>
      <c r="L449" s="257" t="s">
        <v>523</v>
      </c>
      <c r="M449" s="249"/>
      <c r="N449" s="249"/>
      <c r="O449" s="249"/>
      <c r="P449" s="249"/>
      <c r="Q449" s="249"/>
      <c r="R449" s="249"/>
      <c r="S449" s="249"/>
      <c r="T449" s="249"/>
      <c r="U449" s="249"/>
      <c r="V449" s="249"/>
    </row>
    <row r="450">
      <c r="A450" s="255" t="s">
        <v>1190</v>
      </c>
      <c r="B450" s="248" t="s">
        <v>530</v>
      </c>
      <c r="C450" s="248" t="s">
        <v>531</v>
      </c>
      <c r="D450" s="248" t="s">
        <v>512</v>
      </c>
      <c r="E450" s="248">
        <v>569012.0</v>
      </c>
      <c r="F450" s="256">
        <v>45405.0</v>
      </c>
      <c r="G450" s="248">
        <v>2024.0</v>
      </c>
      <c r="H450" s="248" t="s">
        <v>513</v>
      </c>
      <c r="I450" s="248" t="s">
        <v>514</v>
      </c>
      <c r="J450" s="248" t="s">
        <v>297</v>
      </c>
      <c r="K450" s="249" t="s">
        <v>66</v>
      </c>
      <c r="L450" s="257" t="s">
        <v>523</v>
      </c>
      <c r="M450" s="249"/>
      <c r="N450" s="249"/>
      <c r="O450" s="249"/>
      <c r="P450" s="249"/>
      <c r="Q450" s="249"/>
      <c r="R450" s="249"/>
      <c r="S450" s="249"/>
      <c r="T450" s="249"/>
      <c r="U450" s="249"/>
      <c r="V450" s="249"/>
    </row>
    <row r="451">
      <c r="A451" s="255" t="s">
        <v>1191</v>
      </c>
      <c r="B451" s="248" t="s">
        <v>748</v>
      </c>
      <c r="C451" s="248" t="s">
        <v>694</v>
      </c>
      <c r="D451" s="248" t="s">
        <v>512</v>
      </c>
      <c r="E451" s="248">
        <v>1165.0</v>
      </c>
      <c r="F451" s="256">
        <v>45405.0</v>
      </c>
      <c r="G451" s="248">
        <v>2024.0</v>
      </c>
      <c r="H451" s="248" t="s">
        <v>513</v>
      </c>
      <c r="I451" s="248" t="s">
        <v>514</v>
      </c>
      <c r="J451" s="248" t="s">
        <v>297</v>
      </c>
      <c r="K451" s="249" t="s">
        <v>66</v>
      </c>
      <c r="L451" s="257" t="s">
        <v>523</v>
      </c>
      <c r="M451" s="249"/>
      <c r="N451" s="249"/>
      <c r="O451" s="249"/>
      <c r="P451" s="249"/>
      <c r="Q451" s="249"/>
      <c r="R451" s="249"/>
      <c r="S451" s="249"/>
      <c r="T451" s="249"/>
      <c r="U451" s="249"/>
      <c r="V451" s="249"/>
    </row>
    <row r="452">
      <c r="A452" s="255" t="s">
        <v>1192</v>
      </c>
      <c r="B452" s="248" t="s">
        <v>786</v>
      </c>
      <c r="C452" s="248" t="s">
        <v>717</v>
      </c>
      <c r="D452" s="248" t="s">
        <v>512</v>
      </c>
      <c r="E452" s="248">
        <v>34518.0</v>
      </c>
      <c r="F452" s="256">
        <v>45404.0</v>
      </c>
      <c r="G452" s="248">
        <v>2024.0</v>
      </c>
      <c r="H452" s="248" t="s">
        <v>513</v>
      </c>
      <c r="I452" s="248" t="s">
        <v>514</v>
      </c>
      <c r="J452" s="248" t="s">
        <v>297</v>
      </c>
      <c r="K452" s="249" t="s">
        <v>66</v>
      </c>
      <c r="L452" s="257" t="s">
        <v>523</v>
      </c>
      <c r="M452" s="249"/>
      <c r="N452" s="249"/>
      <c r="O452" s="249"/>
      <c r="P452" s="249"/>
      <c r="Q452" s="249"/>
      <c r="R452" s="249"/>
      <c r="S452" s="249"/>
      <c r="T452" s="249"/>
      <c r="U452" s="249"/>
      <c r="V452" s="249"/>
    </row>
    <row r="453">
      <c r="A453" s="255" t="s">
        <v>1193</v>
      </c>
      <c r="B453" s="248" t="s">
        <v>578</v>
      </c>
      <c r="C453" s="248" t="s">
        <v>579</v>
      </c>
      <c r="D453" s="248" t="s">
        <v>575</v>
      </c>
      <c r="E453" s="248">
        <v>36092.0</v>
      </c>
      <c r="F453" s="256">
        <v>45404.0</v>
      </c>
      <c r="G453" s="248">
        <v>2024.0</v>
      </c>
      <c r="H453" s="248" t="s">
        <v>513</v>
      </c>
      <c r="I453" s="248" t="s">
        <v>514</v>
      </c>
      <c r="J453" s="248" t="s">
        <v>297</v>
      </c>
      <c r="K453" s="249" t="s">
        <v>66</v>
      </c>
      <c r="L453" s="257" t="s">
        <v>523</v>
      </c>
      <c r="M453" s="249"/>
      <c r="N453" s="249"/>
      <c r="O453" s="249"/>
      <c r="P453" s="249"/>
      <c r="Q453" s="249"/>
      <c r="R453" s="249"/>
      <c r="S453" s="249"/>
      <c r="T453" s="249"/>
      <c r="U453" s="249"/>
      <c r="V453" s="249"/>
    </row>
    <row r="454">
      <c r="A454" s="255" t="s">
        <v>1194</v>
      </c>
      <c r="B454" s="248" t="s">
        <v>679</v>
      </c>
      <c r="C454" s="248" t="s">
        <v>663</v>
      </c>
      <c r="D454" s="248" t="s">
        <v>512</v>
      </c>
      <c r="E454" s="248">
        <v>175195.0</v>
      </c>
      <c r="F454" s="256">
        <v>45401.0</v>
      </c>
      <c r="G454" s="248">
        <v>2024.0</v>
      </c>
      <c r="H454" s="248" t="s">
        <v>513</v>
      </c>
      <c r="I454" s="248" t="s">
        <v>998</v>
      </c>
      <c r="J454" s="248" t="s">
        <v>297</v>
      </c>
      <c r="K454" s="249" t="s">
        <v>66</v>
      </c>
      <c r="L454" s="257" t="s">
        <v>523</v>
      </c>
      <c r="M454" s="249"/>
      <c r="N454" s="249"/>
      <c r="O454" s="249"/>
      <c r="P454" s="249"/>
      <c r="Q454" s="249"/>
      <c r="R454" s="249"/>
      <c r="S454" s="249"/>
      <c r="T454" s="249"/>
      <c r="U454" s="249"/>
      <c r="V454" s="249"/>
    </row>
    <row r="455">
      <c r="A455" s="255" t="s">
        <v>1195</v>
      </c>
      <c r="B455" s="248" t="s">
        <v>75</v>
      </c>
      <c r="C455" s="248" t="s">
        <v>675</v>
      </c>
      <c r="D455" s="248" t="s">
        <v>512</v>
      </c>
      <c r="E455" s="248">
        <v>5078.0</v>
      </c>
      <c r="F455" s="256">
        <v>45401.0</v>
      </c>
      <c r="G455" s="248">
        <v>2024.0</v>
      </c>
      <c r="H455" s="248" t="s">
        <v>513</v>
      </c>
      <c r="I455" s="248" t="s">
        <v>521</v>
      </c>
      <c r="J455" s="248" t="s">
        <v>297</v>
      </c>
      <c r="K455" s="249" t="s">
        <v>66</v>
      </c>
      <c r="L455" s="257" t="s">
        <v>523</v>
      </c>
      <c r="M455" s="249"/>
      <c r="N455" s="249"/>
      <c r="O455" s="249"/>
      <c r="P455" s="249"/>
      <c r="Q455" s="249"/>
      <c r="R455" s="249"/>
      <c r="S455" s="249"/>
      <c r="T455" s="249"/>
      <c r="U455" s="249"/>
      <c r="V455" s="249"/>
    </row>
    <row r="456">
      <c r="A456" s="255" t="s">
        <v>1196</v>
      </c>
      <c r="B456" s="248" t="s">
        <v>542</v>
      </c>
      <c r="C456" s="248" t="s">
        <v>543</v>
      </c>
      <c r="D456" s="248" t="s">
        <v>512</v>
      </c>
      <c r="E456" s="248">
        <v>36353.0</v>
      </c>
      <c r="F456" s="256">
        <v>45401.0</v>
      </c>
      <c r="G456" s="248">
        <v>2024.0</v>
      </c>
      <c r="H456" s="248" t="s">
        <v>513</v>
      </c>
      <c r="I456" s="248" t="s">
        <v>514</v>
      </c>
      <c r="J456" s="248" t="s">
        <v>297</v>
      </c>
      <c r="K456" s="249" t="s">
        <v>66</v>
      </c>
      <c r="L456" s="257" t="s">
        <v>523</v>
      </c>
      <c r="M456" s="249"/>
      <c r="N456" s="249"/>
      <c r="O456" s="249"/>
      <c r="P456" s="249"/>
      <c r="Q456" s="249"/>
      <c r="R456" s="249"/>
      <c r="S456" s="249"/>
      <c r="T456" s="249"/>
      <c r="U456" s="249"/>
      <c r="V456" s="249"/>
    </row>
    <row r="457">
      <c r="A457" s="255" t="s">
        <v>1197</v>
      </c>
      <c r="B457" s="248" t="s">
        <v>705</v>
      </c>
      <c r="C457" s="248" t="s">
        <v>706</v>
      </c>
      <c r="D457" s="248" t="s">
        <v>520</v>
      </c>
      <c r="E457" s="248">
        <v>8819.0</v>
      </c>
      <c r="F457" s="256">
        <v>45400.0</v>
      </c>
      <c r="G457" s="248">
        <v>2024.0</v>
      </c>
      <c r="H457" s="248" t="s">
        <v>513</v>
      </c>
      <c r="I457" s="248" t="s">
        <v>514</v>
      </c>
      <c r="J457" s="248" t="s">
        <v>309</v>
      </c>
      <c r="K457" s="249" t="s">
        <v>66</v>
      </c>
      <c r="L457" s="257" t="s">
        <v>523</v>
      </c>
      <c r="M457" s="249"/>
      <c r="N457" s="249"/>
      <c r="O457" s="249"/>
      <c r="P457" s="249"/>
      <c r="Q457" s="249"/>
      <c r="R457" s="249"/>
      <c r="S457" s="249"/>
      <c r="T457" s="249"/>
      <c r="U457" s="249"/>
      <c r="V457" s="249"/>
    </row>
    <row r="458">
      <c r="A458" s="255" t="s">
        <v>1198</v>
      </c>
      <c r="B458" s="248" t="s">
        <v>815</v>
      </c>
      <c r="C458" s="248" t="s">
        <v>728</v>
      </c>
      <c r="D458" s="248" t="s">
        <v>512</v>
      </c>
      <c r="E458" s="248">
        <v>2282.0</v>
      </c>
      <c r="F458" s="256">
        <v>45399.0</v>
      </c>
      <c r="G458" s="248">
        <v>2024.0</v>
      </c>
      <c r="H458" s="248" t="s">
        <v>513</v>
      </c>
      <c r="I458" s="248" t="s">
        <v>521</v>
      </c>
      <c r="J458" s="248" t="s">
        <v>297</v>
      </c>
      <c r="K458" s="249" t="s">
        <v>66</v>
      </c>
      <c r="L458" s="257" t="s">
        <v>523</v>
      </c>
      <c r="M458" s="249"/>
      <c r="N458" s="249"/>
      <c r="O458" s="249"/>
      <c r="P458" s="249"/>
      <c r="Q458" s="249"/>
      <c r="R458" s="249"/>
      <c r="S458" s="249"/>
      <c r="T458" s="249"/>
      <c r="U458" s="249"/>
      <c r="V458" s="249"/>
    </row>
    <row r="459">
      <c r="A459" s="255" t="s">
        <v>1199</v>
      </c>
      <c r="B459" s="248" t="s">
        <v>1189</v>
      </c>
      <c r="C459" s="248" t="s">
        <v>666</v>
      </c>
      <c r="D459" s="248" t="s">
        <v>512</v>
      </c>
      <c r="E459" s="248">
        <v>5000.0</v>
      </c>
      <c r="F459" s="256">
        <v>45399.0</v>
      </c>
      <c r="G459" s="248">
        <v>2024.0</v>
      </c>
      <c r="H459" s="248" t="s">
        <v>513</v>
      </c>
      <c r="I459" s="248" t="s">
        <v>514</v>
      </c>
      <c r="J459" s="248" t="s">
        <v>297</v>
      </c>
      <c r="K459" s="249" t="s">
        <v>66</v>
      </c>
      <c r="L459" s="257" t="s">
        <v>523</v>
      </c>
      <c r="M459" s="249"/>
      <c r="N459" s="249"/>
      <c r="O459" s="249"/>
      <c r="P459" s="249"/>
      <c r="Q459" s="249"/>
      <c r="R459" s="249"/>
      <c r="S459" s="249"/>
      <c r="T459" s="249"/>
      <c r="U459" s="249"/>
      <c r="V459" s="249"/>
    </row>
    <row r="460">
      <c r="A460" s="255" t="s">
        <v>1200</v>
      </c>
      <c r="B460" s="248" t="s">
        <v>530</v>
      </c>
      <c r="C460" s="248" t="s">
        <v>531</v>
      </c>
      <c r="D460" s="248" t="s">
        <v>575</v>
      </c>
      <c r="E460" s="248">
        <v>1.34E7</v>
      </c>
      <c r="F460" s="256">
        <v>45394.0</v>
      </c>
      <c r="G460" s="248">
        <v>2024.0</v>
      </c>
      <c r="H460" s="248" t="s">
        <v>546</v>
      </c>
      <c r="I460" s="248" t="s">
        <v>514</v>
      </c>
      <c r="J460" s="248" t="s">
        <v>297</v>
      </c>
      <c r="K460" s="249" t="s">
        <v>66</v>
      </c>
      <c r="L460" s="257" t="s">
        <v>523</v>
      </c>
      <c r="M460" s="249"/>
      <c r="N460" s="249"/>
      <c r="O460" s="249"/>
      <c r="P460" s="249"/>
      <c r="Q460" s="249"/>
      <c r="R460" s="249"/>
      <c r="S460" s="249"/>
      <c r="T460" s="249"/>
      <c r="U460" s="249"/>
      <c r="V460" s="249"/>
    </row>
    <row r="461">
      <c r="A461" s="255" t="s">
        <v>1201</v>
      </c>
      <c r="B461" s="248" t="s">
        <v>1039</v>
      </c>
      <c r="C461" s="248" t="s">
        <v>686</v>
      </c>
      <c r="D461" s="248" t="s">
        <v>512</v>
      </c>
      <c r="E461" s="248">
        <v>27332.0</v>
      </c>
      <c r="F461" s="256">
        <v>45391.0</v>
      </c>
      <c r="G461" s="248">
        <v>2024.0</v>
      </c>
      <c r="H461" s="248" t="s">
        <v>513</v>
      </c>
      <c r="I461" s="248" t="s">
        <v>514</v>
      </c>
      <c r="J461" s="248" t="s">
        <v>297</v>
      </c>
      <c r="K461" s="249" t="s">
        <v>66</v>
      </c>
      <c r="L461" s="257" t="s">
        <v>523</v>
      </c>
      <c r="M461" s="249"/>
      <c r="N461" s="249"/>
      <c r="O461" s="249"/>
      <c r="P461" s="249"/>
      <c r="Q461" s="249"/>
      <c r="R461" s="249"/>
      <c r="S461" s="249"/>
      <c r="T461" s="249"/>
      <c r="U461" s="249"/>
      <c r="V461" s="249"/>
    </row>
    <row r="462">
      <c r="A462" s="255" t="s">
        <v>1202</v>
      </c>
      <c r="B462" s="248" t="s">
        <v>748</v>
      </c>
      <c r="C462" s="248" t="s">
        <v>694</v>
      </c>
      <c r="D462" s="248" t="s">
        <v>512</v>
      </c>
      <c r="E462" s="248">
        <v>240214.0</v>
      </c>
      <c r="F462" s="256">
        <v>45390.0</v>
      </c>
      <c r="G462" s="248">
        <v>2024.0</v>
      </c>
      <c r="H462" s="248" t="s">
        <v>513</v>
      </c>
      <c r="I462" s="248" t="s">
        <v>514</v>
      </c>
      <c r="J462" s="248" t="s">
        <v>297</v>
      </c>
      <c r="K462" s="249" t="s">
        <v>66</v>
      </c>
      <c r="L462" s="257" t="s">
        <v>523</v>
      </c>
      <c r="M462" s="249"/>
      <c r="N462" s="249"/>
      <c r="O462" s="249"/>
      <c r="P462" s="249"/>
      <c r="Q462" s="249"/>
      <c r="R462" s="249"/>
      <c r="S462" s="249"/>
      <c r="T462" s="249"/>
      <c r="U462" s="249"/>
      <c r="V462" s="249"/>
    </row>
    <row r="463">
      <c r="A463" s="255" t="s">
        <v>1203</v>
      </c>
      <c r="B463" s="248" t="s">
        <v>668</v>
      </c>
      <c r="C463" s="248" t="s">
        <v>669</v>
      </c>
      <c r="D463" s="248" t="s">
        <v>575</v>
      </c>
      <c r="E463" s="248">
        <v>533809.0</v>
      </c>
      <c r="F463" s="256">
        <v>45390.0</v>
      </c>
      <c r="G463" s="248">
        <v>2024.0</v>
      </c>
      <c r="H463" s="248" t="s">
        <v>513</v>
      </c>
      <c r="I463" s="248" t="s">
        <v>514</v>
      </c>
      <c r="J463" s="248" t="s">
        <v>297</v>
      </c>
      <c r="K463" s="249" t="s">
        <v>66</v>
      </c>
      <c r="L463" s="257" t="s">
        <v>523</v>
      </c>
      <c r="M463" s="249"/>
      <c r="N463" s="249"/>
      <c r="O463" s="249"/>
      <c r="P463" s="249"/>
      <c r="Q463" s="249"/>
      <c r="R463" s="249"/>
      <c r="S463" s="249"/>
      <c r="T463" s="249"/>
      <c r="U463" s="249"/>
      <c r="V463" s="249"/>
    </row>
    <row r="464">
      <c r="A464" s="255" t="s">
        <v>1204</v>
      </c>
      <c r="B464" s="248" t="s">
        <v>573</v>
      </c>
      <c r="C464" s="248" t="s">
        <v>574</v>
      </c>
      <c r="D464" s="248" t="s">
        <v>512</v>
      </c>
      <c r="E464" s="248">
        <v>7900.0</v>
      </c>
      <c r="F464" s="256">
        <v>45387.0</v>
      </c>
      <c r="G464" s="248">
        <v>2024.0</v>
      </c>
      <c r="H464" s="248" t="s">
        <v>513</v>
      </c>
      <c r="I464" s="248" t="s">
        <v>514</v>
      </c>
      <c r="J464" s="248" t="s">
        <v>297</v>
      </c>
      <c r="K464" s="249" t="s">
        <v>66</v>
      </c>
      <c r="L464" s="257" t="s">
        <v>523</v>
      </c>
      <c r="M464" s="249"/>
      <c r="N464" s="249"/>
      <c r="O464" s="249"/>
      <c r="P464" s="249"/>
      <c r="Q464" s="249"/>
      <c r="R464" s="249"/>
      <c r="S464" s="249"/>
      <c r="T464" s="249"/>
      <c r="U464" s="249"/>
      <c r="V464" s="249"/>
    </row>
    <row r="465">
      <c r="A465" s="255" t="s">
        <v>1205</v>
      </c>
      <c r="B465" s="248" t="s">
        <v>727</v>
      </c>
      <c r="C465" s="248" t="s">
        <v>658</v>
      </c>
      <c r="D465" s="248" t="s">
        <v>520</v>
      </c>
      <c r="E465" s="248">
        <v>56676.0</v>
      </c>
      <c r="F465" s="256">
        <v>45387.0</v>
      </c>
      <c r="G465" s="248">
        <v>2024.0</v>
      </c>
      <c r="H465" s="248" t="s">
        <v>513</v>
      </c>
      <c r="I465" s="248" t="s">
        <v>514</v>
      </c>
      <c r="J465" s="248" t="s">
        <v>309</v>
      </c>
      <c r="K465" s="249" t="s">
        <v>66</v>
      </c>
      <c r="L465" s="257" t="s">
        <v>523</v>
      </c>
      <c r="M465" s="249"/>
      <c r="N465" s="249"/>
      <c r="O465" s="249"/>
      <c r="P465" s="249"/>
      <c r="Q465" s="249"/>
      <c r="R465" s="249"/>
      <c r="S465" s="249"/>
      <c r="T465" s="249"/>
      <c r="U465" s="249"/>
      <c r="V465" s="249"/>
    </row>
    <row r="466">
      <c r="A466" s="255" t="s">
        <v>1206</v>
      </c>
      <c r="B466" s="248" t="s">
        <v>75</v>
      </c>
      <c r="C466" s="248" t="s">
        <v>675</v>
      </c>
      <c r="D466" s="248" t="s">
        <v>512</v>
      </c>
      <c r="E466" s="248">
        <v>29000.0</v>
      </c>
      <c r="F466" s="256">
        <v>45386.0</v>
      </c>
      <c r="G466" s="248">
        <v>2024.0</v>
      </c>
      <c r="H466" s="248" t="s">
        <v>513</v>
      </c>
      <c r="I466" s="248" t="s">
        <v>514</v>
      </c>
      <c r="J466" s="248" t="s">
        <v>297</v>
      </c>
      <c r="K466" s="249" t="s">
        <v>66</v>
      </c>
      <c r="L466" s="257" t="s">
        <v>523</v>
      </c>
      <c r="M466" s="249"/>
      <c r="N466" s="249"/>
      <c r="O466" s="249"/>
      <c r="P466" s="249"/>
      <c r="Q466" s="249"/>
      <c r="R466" s="249"/>
      <c r="S466" s="249"/>
      <c r="T466" s="249"/>
      <c r="U466" s="249"/>
      <c r="V466" s="249"/>
    </row>
    <row r="467">
      <c r="A467" s="255" t="s">
        <v>1207</v>
      </c>
      <c r="B467" s="248" t="s">
        <v>748</v>
      </c>
      <c r="C467" s="248" t="s">
        <v>694</v>
      </c>
      <c r="D467" s="248" t="s">
        <v>512</v>
      </c>
      <c r="E467" s="248">
        <v>3142.0</v>
      </c>
      <c r="F467" s="256">
        <v>45384.0</v>
      </c>
      <c r="G467" s="248">
        <v>2024.0</v>
      </c>
      <c r="H467" s="248" t="s">
        <v>513</v>
      </c>
      <c r="I467" s="248" t="s">
        <v>521</v>
      </c>
      <c r="J467" s="248" t="s">
        <v>297</v>
      </c>
      <c r="K467" s="249" t="s">
        <v>66</v>
      </c>
      <c r="L467" s="257" t="s">
        <v>523</v>
      </c>
      <c r="M467" s="249"/>
      <c r="N467" s="249"/>
      <c r="O467" s="249"/>
      <c r="P467" s="249"/>
      <c r="Q467" s="249"/>
      <c r="R467" s="249"/>
      <c r="S467" s="249"/>
      <c r="T467" s="249"/>
      <c r="U467" s="249"/>
      <c r="V467" s="249"/>
    </row>
    <row r="468">
      <c r="A468" s="255" t="s">
        <v>1208</v>
      </c>
      <c r="B468" s="248" t="s">
        <v>966</v>
      </c>
      <c r="C468" s="248" t="s">
        <v>737</v>
      </c>
      <c r="D468" s="248" t="s">
        <v>512</v>
      </c>
      <c r="E468" s="248">
        <v>2331.0</v>
      </c>
      <c r="F468" s="256">
        <v>45384.0</v>
      </c>
      <c r="G468" s="248">
        <v>2024.0</v>
      </c>
      <c r="H468" s="248" t="s">
        <v>513</v>
      </c>
      <c r="I468" s="248" t="s">
        <v>514</v>
      </c>
      <c r="J468" s="248" t="s">
        <v>309</v>
      </c>
      <c r="K468" s="249" t="s">
        <v>66</v>
      </c>
      <c r="L468" s="257" t="s">
        <v>523</v>
      </c>
      <c r="M468" s="249"/>
      <c r="N468" s="249"/>
      <c r="O468" s="249"/>
      <c r="P468" s="249"/>
      <c r="Q468" s="249"/>
      <c r="R468" s="249"/>
      <c r="S468" s="249"/>
      <c r="T468" s="249"/>
      <c r="U468" s="249"/>
      <c r="V468" s="249"/>
    </row>
    <row r="469">
      <c r="A469" s="255" t="s">
        <v>1209</v>
      </c>
      <c r="B469" s="248" t="s">
        <v>578</v>
      </c>
      <c r="C469" s="248" t="s">
        <v>579</v>
      </c>
      <c r="D469" s="248" t="s">
        <v>520</v>
      </c>
      <c r="E469" s="248">
        <v>1328.0</v>
      </c>
      <c r="F469" s="256">
        <v>45383.0</v>
      </c>
      <c r="G469" s="248">
        <v>2024.0</v>
      </c>
      <c r="H469" s="248" t="s">
        <v>513</v>
      </c>
      <c r="I469" s="248" t="s">
        <v>514</v>
      </c>
      <c r="J469" s="248" t="s">
        <v>309</v>
      </c>
      <c r="K469" s="249" t="s">
        <v>66</v>
      </c>
      <c r="L469" s="257" t="s">
        <v>523</v>
      </c>
      <c r="M469" s="249"/>
      <c r="N469" s="249"/>
      <c r="O469" s="249"/>
      <c r="P469" s="249"/>
      <c r="Q469" s="249"/>
      <c r="R469" s="249"/>
      <c r="S469" s="249"/>
      <c r="T469" s="249"/>
      <c r="U469" s="249"/>
      <c r="V469" s="249"/>
    </row>
    <row r="470">
      <c r="A470" s="255" t="s">
        <v>1210</v>
      </c>
      <c r="B470" s="248" t="s">
        <v>75</v>
      </c>
      <c r="C470" s="248" t="s">
        <v>675</v>
      </c>
      <c r="D470" s="248" t="s">
        <v>512</v>
      </c>
      <c r="E470" s="248">
        <v>19353.0</v>
      </c>
      <c r="F470" s="256">
        <v>45383.0</v>
      </c>
      <c r="G470" s="248">
        <v>2024.0</v>
      </c>
      <c r="H470" s="248" t="s">
        <v>513</v>
      </c>
      <c r="I470" s="248" t="s">
        <v>514</v>
      </c>
      <c r="J470" s="248" t="s">
        <v>309</v>
      </c>
      <c r="K470" s="249" t="s">
        <v>66</v>
      </c>
      <c r="L470" s="257" t="s">
        <v>523</v>
      </c>
      <c r="M470" s="249"/>
      <c r="N470" s="249"/>
      <c r="O470" s="249"/>
      <c r="P470" s="249"/>
      <c r="Q470" s="249"/>
      <c r="R470" s="249"/>
      <c r="S470" s="249"/>
      <c r="T470" s="249"/>
      <c r="U470" s="249"/>
      <c r="V470" s="249"/>
    </row>
    <row r="471">
      <c r="A471" s="255" t="s">
        <v>1211</v>
      </c>
      <c r="B471" s="248" t="s">
        <v>538</v>
      </c>
      <c r="C471" s="248" t="s">
        <v>539</v>
      </c>
      <c r="D471" s="248" t="s">
        <v>512</v>
      </c>
      <c r="E471" s="248">
        <v>316802.0</v>
      </c>
      <c r="F471" s="256">
        <v>45383.0</v>
      </c>
      <c r="G471" s="248">
        <v>2024.0</v>
      </c>
      <c r="H471" s="248" t="s">
        <v>513</v>
      </c>
      <c r="I471" s="248" t="s">
        <v>514</v>
      </c>
      <c r="J471" s="248" t="s">
        <v>297</v>
      </c>
      <c r="K471" s="249" t="s">
        <v>66</v>
      </c>
      <c r="L471" s="257" t="s">
        <v>523</v>
      </c>
      <c r="M471" s="249"/>
      <c r="N471" s="249"/>
      <c r="O471" s="249"/>
      <c r="P471" s="249"/>
      <c r="Q471" s="249"/>
      <c r="R471" s="249"/>
      <c r="S471" s="249"/>
      <c r="T471" s="249"/>
      <c r="U471" s="249"/>
      <c r="V471" s="249"/>
    </row>
    <row r="472">
      <c r="A472" s="255" t="s">
        <v>1212</v>
      </c>
      <c r="B472" s="248" t="s">
        <v>845</v>
      </c>
      <c r="C472" s="248" t="s">
        <v>733</v>
      </c>
      <c r="D472" s="248" t="s">
        <v>512</v>
      </c>
      <c r="E472" s="248">
        <v>4333.0</v>
      </c>
      <c r="F472" s="256">
        <v>45380.0</v>
      </c>
      <c r="G472" s="248">
        <v>2024.0</v>
      </c>
      <c r="H472" s="248" t="s">
        <v>513</v>
      </c>
      <c r="I472" s="248" t="s">
        <v>514</v>
      </c>
      <c r="J472" s="248" t="s">
        <v>297</v>
      </c>
      <c r="K472" s="249" t="s">
        <v>66</v>
      </c>
      <c r="L472" s="257" t="s">
        <v>523</v>
      </c>
      <c r="M472" s="249"/>
      <c r="N472" s="249"/>
      <c r="O472" s="249"/>
      <c r="P472" s="249"/>
      <c r="Q472" s="249"/>
      <c r="R472" s="249"/>
      <c r="S472" s="249"/>
      <c r="T472" s="249"/>
      <c r="U472" s="249"/>
      <c r="V472" s="249"/>
    </row>
    <row r="473">
      <c r="A473" s="255" t="s">
        <v>1213</v>
      </c>
      <c r="B473" s="248" t="s">
        <v>611</v>
      </c>
      <c r="C473" s="248" t="s">
        <v>612</v>
      </c>
      <c r="D473" s="248" t="s">
        <v>520</v>
      </c>
      <c r="E473" s="248">
        <v>4265.0</v>
      </c>
      <c r="F473" s="256">
        <v>45380.0</v>
      </c>
      <c r="G473" s="248">
        <v>2024.0</v>
      </c>
      <c r="H473" s="248" t="s">
        <v>556</v>
      </c>
      <c r="I473" s="248" t="s">
        <v>707</v>
      </c>
      <c r="J473" s="248" t="s">
        <v>309</v>
      </c>
      <c r="K473" s="249" t="s">
        <v>66</v>
      </c>
      <c r="L473" s="257" t="s">
        <v>523</v>
      </c>
      <c r="M473" s="249"/>
      <c r="N473" s="249"/>
      <c r="O473" s="249"/>
      <c r="P473" s="249"/>
      <c r="Q473" s="249"/>
      <c r="R473" s="249"/>
      <c r="S473" s="249"/>
      <c r="T473" s="249"/>
      <c r="U473" s="249"/>
      <c r="V473" s="249"/>
    </row>
    <row r="474">
      <c r="A474" s="255" t="s">
        <v>1214</v>
      </c>
      <c r="B474" s="248" t="s">
        <v>1039</v>
      </c>
      <c r="C474" s="248" t="s">
        <v>686</v>
      </c>
      <c r="D474" s="248" t="s">
        <v>512</v>
      </c>
      <c r="E474" s="248">
        <v>216532.0</v>
      </c>
      <c r="F474" s="256">
        <v>45380.0</v>
      </c>
      <c r="G474" s="248">
        <v>2024.0</v>
      </c>
      <c r="H474" s="248" t="s">
        <v>513</v>
      </c>
      <c r="I474" s="248" t="s">
        <v>514</v>
      </c>
      <c r="J474" s="248" t="s">
        <v>297</v>
      </c>
      <c r="K474" s="249" t="s">
        <v>66</v>
      </c>
      <c r="L474" s="257" t="s">
        <v>523</v>
      </c>
      <c r="M474" s="249"/>
      <c r="N474" s="249"/>
      <c r="O474" s="249"/>
      <c r="P474" s="249"/>
      <c r="Q474" s="249"/>
      <c r="R474" s="249"/>
      <c r="S474" s="249"/>
      <c r="T474" s="249"/>
      <c r="U474" s="249"/>
      <c r="V474" s="249"/>
    </row>
    <row r="475">
      <c r="A475" s="255" t="s">
        <v>1215</v>
      </c>
      <c r="B475" s="248" t="s">
        <v>679</v>
      </c>
      <c r="C475" s="248" t="s">
        <v>663</v>
      </c>
      <c r="D475" s="248" t="s">
        <v>512</v>
      </c>
      <c r="E475" s="248">
        <v>4130.0</v>
      </c>
      <c r="F475" s="256">
        <v>45380.0</v>
      </c>
      <c r="G475" s="248">
        <v>2024.0</v>
      </c>
      <c r="H475" s="248" t="s">
        <v>513</v>
      </c>
      <c r="I475" s="248" t="s">
        <v>514</v>
      </c>
      <c r="J475" s="248" t="s">
        <v>309</v>
      </c>
      <c r="K475" s="249" t="s">
        <v>66</v>
      </c>
      <c r="L475" s="257" t="s">
        <v>523</v>
      </c>
      <c r="M475" s="249"/>
      <c r="N475" s="249"/>
      <c r="O475" s="249"/>
      <c r="P475" s="249"/>
      <c r="Q475" s="249"/>
      <c r="R475" s="249"/>
      <c r="S475" s="249"/>
      <c r="T475" s="249"/>
      <c r="U475" s="249"/>
      <c r="V475" s="249"/>
    </row>
    <row r="476">
      <c r="A476" s="255" t="s">
        <v>1216</v>
      </c>
      <c r="B476" s="248" t="s">
        <v>538</v>
      </c>
      <c r="C476" s="248" t="s">
        <v>539</v>
      </c>
      <c r="D476" s="248" t="s">
        <v>512</v>
      </c>
      <c r="E476" s="248">
        <v>1643.0</v>
      </c>
      <c r="F476" s="256">
        <v>45380.0</v>
      </c>
      <c r="G476" s="248">
        <v>2024.0</v>
      </c>
      <c r="H476" s="248" t="s">
        <v>513</v>
      </c>
      <c r="I476" s="248" t="s">
        <v>514</v>
      </c>
      <c r="J476" s="248" t="s">
        <v>309</v>
      </c>
      <c r="K476" s="249" t="s">
        <v>66</v>
      </c>
      <c r="L476" s="257" t="s">
        <v>523</v>
      </c>
      <c r="M476" s="249"/>
      <c r="N476" s="249"/>
      <c r="O476" s="249"/>
      <c r="P476" s="249"/>
      <c r="Q476" s="249"/>
      <c r="R476" s="249"/>
      <c r="S476" s="249"/>
      <c r="T476" s="249"/>
      <c r="U476" s="249"/>
      <c r="V476" s="249"/>
    </row>
    <row r="477">
      <c r="A477" s="255" t="s">
        <v>1217</v>
      </c>
      <c r="B477" s="248" t="s">
        <v>518</v>
      </c>
      <c r="C477" s="248" t="s">
        <v>519</v>
      </c>
      <c r="D477" s="248" t="s">
        <v>512</v>
      </c>
      <c r="E477" s="248">
        <v>3287.0</v>
      </c>
      <c r="F477" s="256">
        <v>45380.0</v>
      </c>
      <c r="G477" s="248">
        <v>2024.0</v>
      </c>
      <c r="H477" s="248" t="s">
        <v>513</v>
      </c>
      <c r="I477" s="248" t="s">
        <v>514</v>
      </c>
      <c r="J477" s="248" t="s">
        <v>309</v>
      </c>
      <c r="K477" s="249" t="s">
        <v>66</v>
      </c>
      <c r="L477" s="257" t="s">
        <v>523</v>
      </c>
      <c r="M477" s="249"/>
      <c r="N477" s="249"/>
      <c r="O477" s="249"/>
      <c r="P477" s="249"/>
      <c r="Q477" s="249"/>
      <c r="R477" s="249"/>
      <c r="S477" s="249"/>
      <c r="T477" s="249"/>
      <c r="U477" s="249"/>
      <c r="V477" s="249"/>
    </row>
    <row r="478">
      <c r="A478" s="255" t="s">
        <v>1218</v>
      </c>
      <c r="B478" s="248" t="s">
        <v>679</v>
      </c>
      <c r="C478" s="248" t="s">
        <v>663</v>
      </c>
      <c r="D478" s="248" t="s">
        <v>512</v>
      </c>
      <c r="E478" s="248">
        <v>3317.0</v>
      </c>
      <c r="F478" s="256">
        <v>45380.0</v>
      </c>
      <c r="G478" s="248">
        <v>2024.0</v>
      </c>
      <c r="H478" s="248" t="s">
        <v>513</v>
      </c>
      <c r="I478" s="248" t="s">
        <v>514</v>
      </c>
      <c r="J478" s="248" t="s">
        <v>309</v>
      </c>
      <c r="K478" s="249" t="s">
        <v>66</v>
      </c>
      <c r="L478" s="257" t="s">
        <v>523</v>
      </c>
      <c r="M478" s="249"/>
      <c r="N478" s="249"/>
      <c r="O478" s="249"/>
      <c r="P478" s="249"/>
      <c r="Q478" s="249"/>
      <c r="R478" s="249"/>
      <c r="S478" s="249"/>
      <c r="T478" s="249"/>
      <c r="U478" s="249"/>
      <c r="V478" s="249"/>
    </row>
    <row r="479">
      <c r="A479" s="255" t="s">
        <v>1219</v>
      </c>
      <c r="B479" s="248" t="s">
        <v>894</v>
      </c>
      <c r="C479" s="248" t="s">
        <v>639</v>
      </c>
      <c r="D479" s="248" t="s">
        <v>512</v>
      </c>
      <c r="E479" s="248">
        <v>3477.0</v>
      </c>
      <c r="F479" s="256">
        <v>45380.0</v>
      </c>
      <c r="G479" s="248">
        <v>2024.0</v>
      </c>
      <c r="H479" s="248" t="s">
        <v>513</v>
      </c>
      <c r="I479" s="248" t="s">
        <v>514</v>
      </c>
      <c r="J479" s="248" t="s">
        <v>309</v>
      </c>
      <c r="K479" s="249" t="s">
        <v>66</v>
      </c>
      <c r="L479" s="257" t="s">
        <v>523</v>
      </c>
      <c r="M479" s="249"/>
      <c r="N479" s="249"/>
      <c r="O479" s="249"/>
      <c r="P479" s="249"/>
      <c r="Q479" s="249"/>
      <c r="R479" s="249"/>
      <c r="S479" s="249"/>
      <c r="T479" s="249"/>
      <c r="U479" s="249"/>
      <c r="V479" s="249"/>
    </row>
    <row r="480">
      <c r="A480" s="255" t="s">
        <v>1220</v>
      </c>
      <c r="B480" s="248" t="s">
        <v>1189</v>
      </c>
      <c r="C480" s="248" t="s">
        <v>666</v>
      </c>
      <c r="D480" s="248" t="s">
        <v>512</v>
      </c>
      <c r="E480" s="248">
        <v>5606.0</v>
      </c>
      <c r="F480" s="256">
        <v>45380.0</v>
      </c>
      <c r="G480" s="248">
        <v>2024.0</v>
      </c>
      <c r="H480" s="248" t="s">
        <v>513</v>
      </c>
      <c r="I480" s="248" t="s">
        <v>514</v>
      </c>
      <c r="J480" s="248" t="s">
        <v>309</v>
      </c>
      <c r="K480" s="249" t="s">
        <v>66</v>
      </c>
      <c r="L480" s="257" t="s">
        <v>523</v>
      </c>
      <c r="M480" s="249"/>
      <c r="N480" s="249"/>
      <c r="O480" s="249"/>
      <c r="P480" s="249"/>
      <c r="Q480" s="249"/>
      <c r="R480" s="249"/>
      <c r="S480" s="249"/>
      <c r="T480" s="249"/>
      <c r="U480" s="249"/>
      <c r="V480" s="249"/>
    </row>
    <row r="481">
      <c r="A481" s="255" t="s">
        <v>1221</v>
      </c>
      <c r="B481" s="248" t="s">
        <v>679</v>
      </c>
      <c r="C481" s="248" t="s">
        <v>663</v>
      </c>
      <c r="D481" s="248" t="s">
        <v>512</v>
      </c>
      <c r="E481" s="248">
        <v>1244.0</v>
      </c>
      <c r="F481" s="256">
        <v>45380.0</v>
      </c>
      <c r="G481" s="248">
        <v>2024.0</v>
      </c>
      <c r="H481" s="248" t="s">
        <v>513</v>
      </c>
      <c r="I481" s="248" t="s">
        <v>514</v>
      </c>
      <c r="J481" s="248" t="s">
        <v>309</v>
      </c>
      <c r="K481" s="249" t="s">
        <v>66</v>
      </c>
      <c r="L481" s="257" t="s">
        <v>523</v>
      </c>
      <c r="M481" s="249"/>
      <c r="N481" s="249"/>
      <c r="O481" s="249"/>
      <c r="P481" s="249"/>
      <c r="Q481" s="249"/>
      <c r="R481" s="249"/>
      <c r="S481" s="249"/>
      <c r="T481" s="249"/>
      <c r="U481" s="249"/>
      <c r="V481" s="249"/>
    </row>
    <row r="482">
      <c r="A482" s="255" t="s">
        <v>1222</v>
      </c>
      <c r="B482" s="248" t="s">
        <v>679</v>
      </c>
      <c r="C482" s="248" t="s">
        <v>663</v>
      </c>
      <c r="D482" s="248" t="s">
        <v>512</v>
      </c>
      <c r="E482" s="248">
        <v>1242.0</v>
      </c>
      <c r="F482" s="256">
        <v>45380.0</v>
      </c>
      <c r="G482" s="248">
        <v>2024.0</v>
      </c>
      <c r="H482" s="248" t="s">
        <v>513</v>
      </c>
      <c r="I482" s="248" t="s">
        <v>514</v>
      </c>
      <c r="J482" s="248" t="s">
        <v>309</v>
      </c>
      <c r="K482" s="249" t="s">
        <v>66</v>
      </c>
      <c r="L482" s="257" t="s">
        <v>523</v>
      </c>
      <c r="M482" s="249"/>
      <c r="N482" s="249"/>
      <c r="O482" s="249"/>
      <c r="P482" s="249"/>
      <c r="Q482" s="249"/>
      <c r="R482" s="249"/>
      <c r="S482" s="249"/>
      <c r="T482" s="249"/>
      <c r="U482" s="249"/>
      <c r="V482" s="249"/>
    </row>
    <row r="483">
      <c r="A483" s="255" t="s">
        <v>1223</v>
      </c>
      <c r="B483" s="248" t="s">
        <v>679</v>
      </c>
      <c r="C483" s="248" t="s">
        <v>663</v>
      </c>
      <c r="D483" s="248" t="s">
        <v>512</v>
      </c>
      <c r="E483" s="248">
        <v>1785.0</v>
      </c>
      <c r="F483" s="256">
        <v>45380.0</v>
      </c>
      <c r="G483" s="248">
        <v>2024.0</v>
      </c>
      <c r="H483" s="248" t="s">
        <v>513</v>
      </c>
      <c r="I483" s="248" t="s">
        <v>514</v>
      </c>
      <c r="J483" s="248" t="s">
        <v>309</v>
      </c>
      <c r="K483" s="249" t="s">
        <v>66</v>
      </c>
      <c r="L483" s="257" t="s">
        <v>523</v>
      </c>
      <c r="M483" s="249"/>
      <c r="N483" s="249"/>
      <c r="O483" s="249"/>
      <c r="P483" s="249"/>
      <c r="Q483" s="249"/>
      <c r="R483" s="249"/>
      <c r="S483" s="249"/>
      <c r="T483" s="249"/>
      <c r="U483" s="249"/>
      <c r="V483" s="249"/>
    </row>
    <row r="484">
      <c r="A484" s="255" t="s">
        <v>1224</v>
      </c>
      <c r="B484" s="248" t="s">
        <v>1225</v>
      </c>
      <c r="C484" s="248" t="s">
        <v>746</v>
      </c>
      <c r="D484" s="248" t="s">
        <v>512</v>
      </c>
      <c r="E484" s="248">
        <v>3636.0</v>
      </c>
      <c r="F484" s="256">
        <v>45380.0</v>
      </c>
      <c r="G484" s="248">
        <v>2024.0</v>
      </c>
      <c r="H484" s="248" t="s">
        <v>513</v>
      </c>
      <c r="I484" s="248" t="s">
        <v>514</v>
      </c>
      <c r="J484" s="248" t="s">
        <v>309</v>
      </c>
      <c r="K484" s="249" t="s">
        <v>66</v>
      </c>
      <c r="L484" s="257" t="s">
        <v>523</v>
      </c>
      <c r="M484" s="249"/>
      <c r="N484" s="249"/>
      <c r="O484" s="249"/>
      <c r="P484" s="249"/>
      <c r="Q484" s="249"/>
      <c r="R484" s="249"/>
      <c r="S484" s="249"/>
      <c r="T484" s="249"/>
      <c r="U484" s="249"/>
      <c r="V484" s="249"/>
    </row>
    <row r="485">
      <c r="A485" s="255" t="s">
        <v>1226</v>
      </c>
      <c r="B485" s="248" t="s">
        <v>1063</v>
      </c>
      <c r="C485" s="248" t="s">
        <v>759</v>
      </c>
      <c r="D485" s="248" t="s">
        <v>512</v>
      </c>
      <c r="E485" s="248">
        <v>4506.0</v>
      </c>
      <c r="F485" s="256">
        <v>45380.0</v>
      </c>
      <c r="G485" s="248">
        <v>2024.0</v>
      </c>
      <c r="H485" s="248" t="s">
        <v>513</v>
      </c>
      <c r="I485" s="248" t="s">
        <v>514</v>
      </c>
      <c r="J485" s="248" t="s">
        <v>309</v>
      </c>
      <c r="K485" s="249" t="s">
        <v>66</v>
      </c>
      <c r="L485" s="257" t="s">
        <v>523</v>
      </c>
      <c r="M485" s="249"/>
      <c r="N485" s="249"/>
      <c r="O485" s="249"/>
      <c r="P485" s="249"/>
      <c r="Q485" s="249"/>
      <c r="R485" s="249"/>
      <c r="S485" s="249"/>
      <c r="T485" s="249"/>
      <c r="U485" s="249"/>
      <c r="V485" s="249"/>
    </row>
    <row r="486">
      <c r="A486" s="255" t="s">
        <v>1227</v>
      </c>
      <c r="B486" s="248" t="s">
        <v>679</v>
      </c>
      <c r="C486" s="248" t="s">
        <v>663</v>
      </c>
      <c r="D486" s="248" t="s">
        <v>512</v>
      </c>
      <c r="E486" s="248">
        <v>2781.0</v>
      </c>
      <c r="F486" s="256">
        <v>45380.0</v>
      </c>
      <c r="G486" s="248">
        <v>2024.0</v>
      </c>
      <c r="H486" s="248" t="s">
        <v>513</v>
      </c>
      <c r="I486" s="248" t="s">
        <v>514</v>
      </c>
      <c r="J486" s="248" t="s">
        <v>309</v>
      </c>
      <c r="K486" s="249" t="s">
        <v>66</v>
      </c>
      <c r="L486" s="257" t="s">
        <v>523</v>
      </c>
      <c r="M486" s="249"/>
      <c r="N486" s="249"/>
      <c r="O486" s="249"/>
      <c r="P486" s="249"/>
      <c r="Q486" s="249"/>
      <c r="R486" s="249"/>
      <c r="S486" s="249"/>
      <c r="T486" s="249"/>
      <c r="U486" s="249"/>
      <c r="V486" s="249"/>
    </row>
    <row r="487">
      <c r="A487" s="255" t="s">
        <v>1228</v>
      </c>
      <c r="B487" s="248" t="s">
        <v>894</v>
      </c>
      <c r="C487" s="248" t="s">
        <v>639</v>
      </c>
      <c r="D487" s="248" t="s">
        <v>512</v>
      </c>
      <c r="E487" s="248">
        <v>1642.0</v>
      </c>
      <c r="F487" s="256">
        <v>45380.0</v>
      </c>
      <c r="G487" s="248">
        <v>2024.0</v>
      </c>
      <c r="H487" s="248" t="s">
        <v>513</v>
      </c>
      <c r="I487" s="248" t="s">
        <v>514</v>
      </c>
      <c r="J487" s="248" t="s">
        <v>309</v>
      </c>
      <c r="K487" s="249" t="s">
        <v>66</v>
      </c>
      <c r="L487" s="257" t="s">
        <v>523</v>
      </c>
      <c r="M487" s="249"/>
      <c r="N487" s="249"/>
      <c r="O487" s="249"/>
      <c r="P487" s="249"/>
      <c r="Q487" s="249"/>
      <c r="R487" s="249"/>
      <c r="S487" s="249"/>
      <c r="T487" s="249"/>
      <c r="U487" s="249"/>
      <c r="V487" s="249"/>
    </row>
    <row r="488">
      <c r="A488" s="255" t="s">
        <v>1229</v>
      </c>
      <c r="B488" s="248" t="s">
        <v>679</v>
      </c>
      <c r="C488" s="248" t="s">
        <v>663</v>
      </c>
      <c r="D488" s="248" t="s">
        <v>512</v>
      </c>
      <c r="E488" s="248">
        <v>9014.0</v>
      </c>
      <c r="F488" s="256">
        <v>45380.0</v>
      </c>
      <c r="G488" s="248">
        <v>2024.0</v>
      </c>
      <c r="H488" s="248" t="s">
        <v>513</v>
      </c>
      <c r="I488" s="248" t="s">
        <v>514</v>
      </c>
      <c r="J488" s="248" t="s">
        <v>309</v>
      </c>
      <c r="K488" s="249" t="s">
        <v>66</v>
      </c>
      <c r="L488" s="257" t="s">
        <v>523</v>
      </c>
      <c r="M488" s="249"/>
      <c r="N488" s="249"/>
      <c r="O488" s="249"/>
      <c r="P488" s="249"/>
      <c r="Q488" s="249"/>
      <c r="R488" s="249"/>
      <c r="S488" s="249"/>
      <c r="T488" s="249"/>
      <c r="U488" s="249"/>
      <c r="V488" s="249"/>
    </row>
    <row r="489">
      <c r="A489" s="255" t="s">
        <v>1230</v>
      </c>
      <c r="B489" s="248" t="s">
        <v>705</v>
      </c>
      <c r="C489" s="248" t="s">
        <v>706</v>
      </c>
      <c r="D489" s="248" t="s">
        <v>512</v>
      </c>
      <c r="E489" s="248">
        <v>2986.0</v>
      </c>
      <c r="F489" s="256">
        <v>45380.0</v>
      </c>
      <c r="G489" s="248">
        <v>2024.0</v>
      </c>
      <c r="H489" s="248" t="s">
        <v>513</v>
      </c>
      <c r="I489" s="248" t="s">
        <v>514</v>
      </c>
      <c r="J489" s="248" t="s">
        <v>309</v>
      </c>
      <c r="K489" s="249" t="s">
        <v>66</v>
      </c>
      <c r="L489" s="257" t="s">
        <v>523</v>
      </c>
      <c r="M489" s="249"/>
      <c r="N489" s="249"/>
      <c r="O489" s="249"/>
      <c r="P489" s="249"/>
      <c r="Q489" s="249"/>
      <c r="R489" s="249"/>
      <c r="S489" s="249"/>
      <c r="T489" s="249"/>
      <c r="U489" s="249"/>
      <c r="V489" s="249"/>
    </row>
    <row r="490">
      <c r="A490" s="255" t="s">
        <v>1231</v>
      </c>
      <c r="B490" s="248" t="s">
        <v>538</v>
      </c>
      <c r="C490" s="248" t="s">
        <v>539</v>
      </c>
      <c r="D490" s="248" t="s">
        <v>512</v>
      </c>
      <c r="E490" s="248">
        <v>1191.0</v>
      </c>
      <c r="F490" s="256">
        <v>45380.0</v>
      </c>
      <c r="G490" s="248">
        <v>2024.0</v>
      </c>
      <c r="H490" s="248" t="s">
        <v>513</v>
      </c>
      <c r="I490" s="248" t="s">
        <v>514</v>
      </c>
      <c r="J490" s="248" t="s">
        <v>309</v>
      </c>
      <c r="K490" s="249" t="s">
        <v>66</v>
      </c>
      <c r="L490" s="257" t="s">
        <v>523</v>
      </c>
      <c r="M490" s="249"/>
      <c r="N490" s="249"/>
      <c r="O490" s="249"/>
      <c r="P490" s="249"/>
      <c r="Q490" s="249"/>
      <c r="R490" s="249"/>
      <c r="S490" s="249"/>
      <c r="T490" s="249"/>
      <c r="U490" s="249"/>
      <c r="V490" s="249"/>
    </row>
    <row r="491">
      <c r="A491" s="255" t="s">
        <v>1232</v>
      </c>
      <c r="B491" s="248" t="s">
        <v>1189</v>
      </c>
      <c r="C491" s="248" t="s">
        <v>666</v>
      </c>
      <c r="D491" s="248" t="s">
        <v>512</v>
      </c>
      <c r="E491" s="248">
        <v>3821.0</v>
      </c>
      <c r="F491" s="256">
        <v>45380.0</v>
      </c>
      <c r="G491" s="248">
        <v>2024.0</v>
      </c>
      <c r="H491" s="248" t="s">
        <v>513</v>
      </c>
      <c r="I491" s="248" t="s">
        <v>514</v>
      </c>
      <c r="J491" s="248" t="s">
        <v>309</v>
      </c>
      <c r="K491" s="249" t="s">
        <v>66</v>
      </c>
      <c r="L491" s="257" t="s">
        <v>523</v>
      </c>
      <c r="M491" s="249"/>
      <c r="N491" s="249"/>
      <c r="O491" s="249"/>
      <c r="P491" s="249"/>
      <c r="Q491" s="249"/>
      <c r="R491" s="249"/>
      <c r="S491" s="249"/>
      <c r="T491" s="249"/>
      <c r="U491" s="249"/>
      <c r="V491" s="249"/>
    </row>
    <row r="492">
      <c r="A492" s="255" t="s">
        <v>1233</v>
      </c>
      <c r="B492" s="248" t="s">
        <v>831</v>
      </c>
      <c r="C492" s="248" t="s">
        <v>754</v>
      </c>
      <c r="D492" s="248" t="s">
        <v>512</v>
      </c>
      <c r="E492" s="248">
        <v>5466.0</v>
      </c>
      <c r="F492" s="256">
        <v>45380.0</v>
      </c>
      <c r="G492" s="248">
        <v>2024.0</v>
      </c>
      <c r="H492" s="248" t="s">
        <v>513</v>
      </c>
      <c r="I492" s="248" t="s">
        <v>514</v>
      </c>
      <c r="J492" s="248" t="s">
        <v>309</v>
      </c>
      <c r="K492" s="249" t="s">
        <v>66</v>
      </c>
      <c r="L492" s="257" t="s">
        <v>523</v>
      </c>
      <c r="M492" s="249"/>
      <c r="N492" s="249"/>
      <c r="O492" s="249"/>
      <c r="P492" s="249"/>
      <c r="Q492" s="249"/>
      <c r="R492" s="249"/>
      <c r="S492" s="249"/>
      <c r="T492" s="249"/>
      <c r="U492" s="249"/>
      <c r="V492" s="249"/>
    </row>
    <row r="493">
      <c r="A493" s="255" t="s">
        <v>1234</v>
      </c>
      <c r="B493" s="248" t="s">
        <v>705</v>
      </c>
      <c r="C493" s="248" t="s">
        <v>706</v>
      </c>
      <c r="D493" s="248" t="s">
        <v>512</v>
      </c>
      <c r="E493" s="248">
        <v>3671.0</v>
      </c>
      <c r="F493" s="256">
        <v>45380.0</v>
      </c>
      <c r="G493" s="248">
        <v>2024.0</v>
      </c>
      <c r="H493" s="248" t="s">
        <v>513</v>
      </c>
      <c r="I493" s="248" t="s">
        <v>514</v>
      </c>
      <c r="J493" s="248" t="s">
        <v>309</v>
      </c>
      <c r="K493" s="249" t="s">
        <v>66</v>
      </c>
      <c r="L493" s="257" t="s">
        <v>523</v>
      </c>
      <c r="M493" s="249"/>
      <c r="N493" s="249"/>
      <c r="O493" s="249"/>
      <c r="P493" s="249"/>
      <c r="Q493" s="249"/>
      <c r="R493" s="249"/>
      <c r="S493" s="249"/>
      <c r="T493" s="249"/>
      <c r="U493" s="249"/>
      <c r="V493" s="249"/>
    </row>
    <row r="494">
      <c r="A494" s="255" t="s">
        <v>1235</v>
      </c>
      <c r="B494" s="248" t="s">
        <v>727</v>
      </c>
      <c r="C494" s="248" t="s">
        <v>658</v>
      </c>
      <c r="D494" s="248" t="s">
        <v>512</v>
      </c>
      <c r="E494" s="248">
        <v>4335.0</v>
      </c>
      <c r="F494" s="256">
        <v>45380.0</v>
      </c>
      <c r="G494" s="248">
        <v>2024.0</v>
      </c>
      <c r="H494" s="248" t="s">
        <v>513</v>
      </c>
      <c r="I494" s="248" t="s">
        <v>514</v>
      </c>
      <c r="J494" s="248" t="s">
        <v>309</v>
      </c>
      <c r="K494" s="249" t="s">
        <v>66</v>
      </c>
      <c r="L494" s="257" t="s">
        <v>523</v>
      </c>
      <c r="M494" s="249"/>
      <c r="N494" s="249"/>
      <c r="O494" s="249"/>
      <c r="P494" s="249"/>
      <c r="Q494" s="249"/>
      <c r="R494" s="249"/>
      <c r="S494" s="249"/>
      <c r="T494" s="249"/>
      <c r="U494" s="249"/>
      <c r="V494" s="249"/>
    </row>
    <row r="495">
      <c r="A495" s="255" t="s">
        <v>1236</v>
      </c>
      <c r="B495" s="248" t="s">
        <v>679</v>
      </c>
      <c r="C495" s="248" t="s">
        <v>663</v>
      </c>
      <c r="D495" s="248" t="s">
        <v>512</v>
      </c>
      <c r="E495" s="248">
        <v>5384.0</v>
      </c>
      <c r="F495" s="256">
        <v>45380.0</v>
      </c>
      <c r="G495" s="248">
        <v>2024.0</v>
      </c>
      <c r="H495" s="248" t="s">
        <v>513</v>
      </c>
      <c r="I495" s="248" t="s">
        <v>514</v>
      </c>
      <c r="J495" s="248" t="s">
        <v>309</v>
      </c>
      <c r="K495" s="249" t="s">
        <v>66</v>
      </c>
      <c r="L495" s="257" t="s">
        <v>523</v>
      </c>
      <c r="M495" s="249"/>
      <c r="N495" s="249"/>
      <c r="O495" s="249"/>
      <c r="P495" s="249"/>
      <c r="Q495" s="249"/>
      <c r="R495" s="249"/>
      <c r="S495" s="249"/>
      <c r="T495" s="249"/>
      <c r="U495" s="249"/>
      <c r="V495" s="249"/>
    </row>
    <row r="496">
      <c r="A496" s="255" t="s">
        <v>1237</v>
      </c>
      <c r="B496" s="248" t="s">
        <v>518</v>
      </c>
      <c r="C496" s="248" t="s">
        <v>519</v>
      </c>
      <c r="D496" s="248" t="s">
        <v>512</v>
      </c>
      <c r="E496" s="248">
        <v>5963.0</v>
      </c>
      <c r="F496" s="256">
        <v>45380.0</v>
      </c>
      <c r="G496" s="248">
        <v>2024.0</v>
      </c>
      <c r="H496" s="248" t="s">
        <v>513</v>
      </c>
      <c r="I496" s="248" t="s">
        <v>514</v>
      </c>
      <c r="J496" s="248" t="s">
        <v>309</v>
      </c>
      <c r="K496" s="249" t="s">
        <v>66</v>
      </c>
      <c r="L496" s="257" t="s">
        <v>523</v>
      </c>
      <c r="M496" s="249"/>
      <c r="N496" s="249"/>
      <c r="O496" s="249"/>
      <c r="P496" s="249"/>
      <c r="Q496" s="249"/>
      <c r="R496" s="249"/>
      <c r="S496" s="249"/>
      <c r="T496" s="249"/>
      <c r="U496" s="249"/>
      <c r="V496" s="249"/>
    </row>
    <row r="497">
      <c r="A497" s="255" t="s">
        <v>1238</v>
      </c>
      <c r="B497" s="248" t="s">
        <v>831</v>
      </c>
      <c r="C497" s="248" t="s">
        <v>754</v>
      </c>
      <c r="D497" s="248" t="s">
        <v>512</v>
      </c>
      <c r="E497" s="248">
        <v>1162.0</v>
      </c>
      <c r="F497" s="256">
        <v>45380.0</v>
      </c>
      <c r="G497" s="248">
        <v>2024.0</v>
      </c>
      <c r="H497" s="248" t="s">
        <v>513</v>
      </c>
      <c r="I497" s="248" t="s">
        <v>514</v>
      </c>
      <c r="J497" s="248" t="s">
        <v>309</v>
      </c>
      <c r="K497" s="249" t="s">
        <v>66</v>
      </c>
      <c r="L497" s="257" t="s">
        <v>523</v>
      </c>
      <c r="M497" s="249"/>
      <c r="N497" s="249"/>
      <c r="O497" s="249"/>
      <c r="P497" s="249"/>
      <c r="Q497" s="249"/>
      <c r="R497" s="249"/>
      <c r="S497" s="249"/>
      <c r="T497" s="249"/>
      <c r="U497" s="249"/>
      <c r="V497" s="249"/>
    </row>
    <row r="498">
      <c r="A498" s="255" t="s">
        <v>1239</v>
      </c>
      <c r="B498" s="248" t="s">
        <v>1063</v>
      </c>
      <c r="C498" s="248" t="s">
        <v>759</v>
      </c>
      <c r="D498" s="248" t="s">
        <v>512</v>
      </c>
      <c r="E498" s="248">
        <v>2018.0</v>
      </c>
      <c r="F498" s="256">
        <v>45380.0</v>
      </c>
      <c r="G498" s="248">
        <v>2024.0</v>
      </c>
      <c r="H498" s="248" t="s">
        <v>513</v>
      </c>
      <c r="I498" s="248" t="s">
        <v>514</v>
      </c>
      <c r="J498" s="248" t="s">
        <v>309</v>
      </c>
      <c r="K498" s="249" t="s">
        <v>66</v>
      </c>
      <c r="L498" s="257" t="s">
        <v>523</v>
      </c>
      <c r="M498" s="249"/>
      <c r="N498" s="249"/>
      <c r="O498" s="249"/>
      <c r="P498" s="249"/>
      <c r="Q498" s="249"/>
      <c r="R498" s="249"/>
      <c r="S498" s="249"/>
      <c r="T498" s="249"/>
      <c r="U498" s="249"/>
      <c r="V498" s="249"/>
    </row>
    <row r="499">
      <c r="A499" s="255" t="s">
        <v>1240</v>
      </c>
      <c r="B499" s="248" t="s">
        <v>538</v>
      </c>
      <c r="C499" s="248" t="s">
        <v>539</v>
      </c>
      <c r="D499" s="248" t="s">
        <v>512</v>
      </c>
      <c r="E499" s="248">
        <v>2861.0</v>
      </c>
      <c r="F499" s="256">
        <v>45380.0</v>
      </c>
      <c r="G499" s="248">
        <v>2024.0</v>
      </c>
      <c r="H499" s="248" t="s">
        <v>513</v>
      </c>
      <c r="I499" s="248" t="s">
        <v>514</v>
      </c>
      <c r="J499" s="248" t="s">
        <v>309</v>
      </c>
      <c r="K499" s="249" t="s">
        <v>66</v>
      </c>
      <c r="L499" s="257" t="s">
        <v>523</v>
      </c>
      <c r="M499" s="249"/>
      <c r="N499" s="249"/>
      <c r="O499" s="249"/>
      <c r="P499" s="249"/>
      <c r="Q499" s="249"/>
      <c r="R499" s="249"/>
      <c r="S499" s="249"/>
      <c r="T499" s="249"/>
      <c r="U499" s="249"/>
      <c r="V499" s="249"/>
    </row>
    <row r="500">
      <c r="A500" s="255" t="s">
        <v>1241</v>
      </c>
      <c r="B500" s="248" t="s">
        <v>1063</v>
      </c>
      <c r="C500" s="248" t="s">
        <v>759</v>
      </c>
      <c r="D500" s="248" t="s">
        <v>512</v>
      </c>
      <c r="E500" s="248">
        <v>5823.0</v>
      </c>
      <c r="F500" s="256">
        <v>45380.0</v>
      </c>
      <c r="G500" s="248">
        <v>2024.0</v>
      </c>
      <c r="H500" s="248" t="s">
        <v>513</v>
      </c>
      <c r="I500" s="248" t="s">
        <v>514</v>
      </c>
      <c r="J500" s="248" t="s">
        <v>309</v>
      </c>
      <c r="K500" s="249" t="s">
        <v>66</v>
      </c>
      <c r="L500" s="257" t="s">
        <v>523</v>
      </c>
      <c r="M500" s="249"/>
      <c r="N500" s="249"/>
      <c r="O500" s="249"/>
      <c r="P500" s="249"/>
      <c r="Q500" s="249"/>
      <c r="R500" s="249"/>
      <c r="S500" s="249"/>
      <c r="T500" s="249"/>
      <c r="U500" s="249"/>
      <c r="V500" s="249"/>
    </row>
    <row r="501">
      <c r="A501" s="255" t="s">
        <v>1242</v>
      </c>
      <c r="B501" s="248" t="s">
        <v>679</v>
      </c>
      <c r="C501" s="248" t="s">
        <v>663</v>
      </c>
      <c r="D501" s="248" t="s">
        <v>512</v>
      </c>
      <c r="E501" s="248">
        <v>3581.0</v>
      </c>
      <c r="F501" s="256">
        <v>45380.0</v>
      </c>
      <c r="G501" s="248">
        <v>2024.0</v>
      </c>
      <c r="H501" s="248" t="s">
        <v>513</v>
      </c>
      <c r="I501" s="248" t="s">
        <v>514</v>
      </c>
      <c r="J501" s="248" t="s">
        <v>309</v>
      </c>
      <c r="K501" s="249" t="s">
        <v>66</v>
      </c>
      <c r="L501" s="257" t="s">
        <v>523</v>
      </c>
      <c r="M501" s="249"/>
      <c r="N501" s="249"/>
      <c r="O501" s="249"/>
      <c r="P501" s="249"/>
      <c r="Q501" s="249"/>
      <c r="R501" s="249"/>
      <c r="S501" s="249"/>
      <c r="T501" s="249"/>
      <c r="U501" s="249"/>
      <c r="V501" s="249"/>
    </row>
    <row r="502">
      <c r="A502" s="255" t="s">
        <v>1243</v>
      </c>
      <c r="B502" s="248" t="s">
        <v>688</v>
      </c>
      <c r="C502" s="248" t="s">
        <v>683</v>
      </c>
      <c r="D502" s="248" t="s">
        <v>575</v>
      </c>
      <c r="E502" s="248">
        <v>5356.0</v>
      </c>
      <c r="F502" s="256">
        <v>45380.0</v>
      </c>
      <c r="G502" s="248">
        <v>2024.0</v>
      </c>
      <c r="H502" s="248" t="s">
        <v>546</v>
      </c>
      <c r="I502" s="248" t="s">
        <v>547</v>
      </c>
      <c r="J502" s="248" t="s">
        <v>297</v>
      </c>
      <c r="K502" s="249" t="s">
        <v>66</v>
      </c>
      <c r="L502" s="257" t="s">
        <v>523</v>
      </c>
      <c r="M502" s="249"/>
      <c r="N502" s="249"/>
      <c r="O502" s="249"/>
      <c r="P502" s="249"/>
      <c r="Q502" s="249"/>
      <c r="R502" s="249"/>
      <c r="S502" s="249"/>
      <c r="T502" s="249"/>
      <c r="U502" s="249"/>
      <c r="V502" s="249"/>
    </row>
    <row r="503">
      <c r="A503" s="255" t="s">
        <v>1244</v>
      </c>
      <c r="B503" s="248" t="s">
        <v>542</v>
      </c>
      <c r="C503" s="248" t="s">
        <v>543</v>
      </c>
      <c r="D503" s="248" t="s">
        <v>512</v>
      </c>
      <c r="E503" s="248">
        <v>1104.0</v>
      </c>
      <c r="F503" s="256">
        <v>45379.0</v>
      </c>
      <c r="G503" s="248">
        <v>2024.0</v>
      </c>
      <c r="H503" s="248" t="s">
        <v>513</v>
      </c>
      <c r="I503" s="248" t="s">
        <v>514</v>
      </c>
      <c r="J503" s="248" t="s">
        <v>309</v>
      </c>
      <c r="K503" s="249" t="s">
        <v>66</v>
      </c>
      <c r="L503" s="257" t="s">
        <v>523</v>
      </c>
      <c r="M503" s="249"/>
      <c r="N503" s="249"/>
      <c r="O503" s="249"/>
      <c r="P503" s="249"/>
      <c r="Q503" s="249"/>
      <c r="R503" s="249"/>
      <c r="S503" s="249"/>
      <c r="T503" s="249"/>
      <c r="U503" s="249"/>
      <c r="V503" s="249"/>
    </row>
    <row r="504">
      <c r="A504" s="255" t="s">
        <v>1245</v>
      </c>
      <c r="B504" s="248" t="s">
        <v>679</v>
      </c>
      <c r="C504" s="248" t="s">
        <v>663</v>
      </c>
      <c r="D504" s="248" t="s">
        <v>512</v>
      </c>
      <c r="E504" s="248">
        <v>51477.0</v>
      </c>
      <c r="F504" s="256">
        <v>45379.0</v>
      </c>
      <c r="G504" s="248">
        <v>2024.0</v>
      </c>
      <c r="H504" s="248" t="s">
        <v>546</v>
      </c>
      <c r="I504" s="248" t="s">
        <v>514</v>
      </c>
      <c r="J504" s="248" t="s">
        <v>297</v>
      </c>
      <c r="K504" s="249" t="s">
        <v>66</v>
      </c>
      <c r="L504" s="257" t="s">
        <v>523</v>
      </c>
      <c r="M504" s="249"/>
      <c r="N504" s="249"/>
      <c r="O504" s="249"/>
      <c r="P504" s="249"/>
      <c r="Q504" s="249"/>
      <c r="R504" s="249"/>
      <c r="S504" s="249"/>
      <c r="T504" s="249"/>
      <c r="U504" s="249"/>
      <c r="V504" s="249"/>
    </row>
    <row r="505">
      <c r="A505" s="255" t="s">
        <v>1246</v>
      </c>
      <c r="B505" s="248" t="s">
        <v>688</v>
      </c>
      <c r="C505" s="248" t="s">
        <v>683</v>
      </c>
      <c r="D505" s="248" t="s">
        <v>512</v>
      </c>
      <c r="E505" s="248">
        <v>618189.0</v>
      </c>
      <c r="F505" s="256">
        <v>45379.0</v>
      </c>
      <c r="G505" s="248">
        <v>2024.0</v>
      </c>
      <c r="H505" s="248" t="s">
        <v>513</v>
      </c>
      <c r="I505" s="248" t="s">
        <v>514</v>
      </c>
      <c r="J505" s="248" t="s">
        <v>297</v>
      </c>
      <c r="K505" s="249" t="s">
        <v>66</v>
      </c>
      <c r="L505" s="257" t="s">
        <v>523</v>
      </c>
      <c r="M505" s="249"/>
      <c r="N505" s="249"/>
      <c r="O505" s="249"/>
      <c r="P505" s="249"/>
      <c r="Q505" s="249"/>
      <c r="R505" s="249"/>
      <c r="S505" s="249"/>
      <c r="T505" s="249"/>
      <c r="U505" s="249"/>
      <c r="V505" s="249"/>
    </row>
    <row r="506">
      <c r="A506" s="255" t="s">
        <v>915</v>
      </c>
      <c r="B506" s="248" t="s">
        <v>679</v>
      </c>
      <c r="C506" s="248" t="s">
        <v>663</v>
      </c>
      <c r="D506" s="248" t="s">
        <v>512</v>
      </c>
      <c r="E506" s="248">
        <v>2045.0</v>
      </c>
      <c r="F506" s="256">
        <v>45378.0</v>
      </c>
      <c r="G506" s="248">
        <v>2024.0</v>
      </c>
      <c r="H506" s="248" t="s">
        <v>546</v>
      </c>
      <c r="I506" s="248" t="s">
        <v>514</v>
      </c>
      <c r="J506" s="248" t="s">
        <v>297</v>
      </c>
      <c r="K506" s="249" t="s">
        <v>66</v>
      </c>
      <c r="L506" s="257" t="s">
        <v>523</v>
      </c>
      <c r="M506" s="249"/>
      <c r="N506" s="249"/>
      <c r="O506" s="249"/>
      <c r="P506" s="249"/>
      <c r="Q506" s="249"/>
      <c r="R506" s="249"/>
      <c r="S506" s="249"/>
      <c r="T506" s="249"/>
      <c r="U506" s="249"/>
      <c r="V506" s="249"/>
    </row>
    <row r="507">
      <c r="A507" s="255" t="s">
        <v>1247</v>
      </c>
      <c r="B507" s="248" t="s">
        <v>688</v>
      </c>
      <c r="C507" s="248" t="s">
        <v>683</v>
      </c>
      <c r="D507" s="248" t="s">
        <v>512</v>
      </c>
      <c r="E507" s="248">
        <v>13583.0</v>
      </c>
      <c r="F507" s="256">
        <v>45377.0</v>
      </c>
      <c r="G507" s="248">
        <v>2024.0</v>
      </c>
      <c r="H507" s="248" t="s">
        <v>513</v>
      </c>
      <c r="I507" s="248" t="s">
        <v>514</v>
      </c>
      <c r="J507" s="248" t="s">
        <v>297</v>
      </c>
      <c r="K507" s="249" t="s">
        <v>66</v>
      </c>
      <c r="L507" s="257" t="s">
        <v>523</v>
      </c>
      <c r="M507" s="249"/>
      <c r="N507" s="249"/>
      <c r="O507" s="249"/>
      <c r="P507" s="249"/>
      <c r="Q507" s="249"/>
      <c r="R507" s="249"/>
      <c r="S507" s="249"/>
      <c r="T507" s="249"/>
      <c r="U507" s="249"/>
      <c r="V507" s="249"/>
    </row>
    <row r="508">
      <c r="A508" s="255" t="s">
        <v>1248</v>
      </c>
      <c r="B508" s="248" t="s">
        <v>679</v>
      </c>
      <c r="C508" s="248" t="s">
        <v>663</v>
      </c>
      <c r="D508" s="248" t="s">
        <v>512</v>
      </c>
      <c r="E508" s="248">
        <v>1500.0</v>
      </c>
      <c r="F508" s="256">
        <v>45376.0</v>
      </c>
      <c r="G508" s="248">
        <v>2024.0</v>
      </c>
      <c r="H508" s="248" t="s">
        <v>546</v>
      </c>
      <c r="I508" s="248" t="s">
        <v>514</v>
      </c>
      <c r="J508" s="248" t="s">
        <v>297</v>
      </c>
      <c r="K508" s="249" t="s">
        <v>66</v>
      </c>
      <c r="L508" s="257" t="s">
        <v>523</v>
      </c>
      <c r="M508" s="249"/>
      <c r="N508" s="249"/>
      <c r="O508" s="249"/>
      <c r="P508" s="249"/>
      <c r="Q508" s="249"/>
      <c r="R508" s="249"/>
      <c r="S508" s="249"/>
      <c r="T508" s="249"/>
      <c r="U508" s="249"/>
      <c r="V508" s="249"/>
    </row>
    <row r="509">
      <c r="A509" s="255" t="s">
        <v>1249</v>
      </c>
      <c r="B509" s="248" t="s">
        <v>850</v>
      </c>
      <c r="C509" s="248" t="s">
        <v>723</v>
      </c>
      <c r="D509" s="248" t="s">
        <v>512</v>
      </c>
      <c r="E509" s="248">
        <v>23811.0</v>
      </c>
      <c r="F509" s="256">
        <v>45376.0</v>
      </c>
      <c r="G509" s="248">
        <v>2024.0</v>
      </c>
      <c r="H509" s="248" t="s">
        <v>513</v>
      </c>
      <c r="I509" s="248" t="s">
        <v>514</v>
      </c>
      <c r="J509" s="248" t="s">
        <v>297</v>
      </c>
      <c r="K509" s="249" t="s">
        <v>66</v>
      </c>
      <c r="L509" s="257" t="s">
        <v>523</v>
      </c>
      <c r="M509" s="249"/>
      <c r="N509" s="249"/>
      <c r="O509" s="249"/>
      <c r="P509" s="249"/>
      <c r="Q509" s="249"/>
      <c r="R509" s="249"/>
      <c r="S509" s="249"/>
      <c r="T509" s="249"/>
      <c r="U509" s="249"/>
      <c r="V509" s="249"/>
    </row>
    <row r="510">
      <c r="A510" s="255" t="s">
        <v>1250</v>
      </c>
      <c r="B510" s="248" t="s">
        <v>924</v>
      </c>
      <c r="C510" s="248" t="s">
        <v>725</v>
      </c>
      <c r="D510" s="248" t="s">
        <v>512</v>
      </c>
      <c r="E510" s="248">
        <v>33240.0</v>
      </c>
      <c r="F510" s="256">
        <v>45375.0</v>
      </c>
      <c r="G510" s="248">
        <v>2024.0</v>
      </c>
      <c r="H510" s="248" t="s">
        <v>513</v>
      </c>
      <c r="I510" s="248" t="s">
        <v>514</v>
      </c>
      <c r="J510" s="248" t="s">
        <v>297</v>
      </c>
      <c r="K510" s="249" t="s">
        <v>66</v>
      </c>
      <c r="L510" s="257" t="s">
        <v>523</v>
      </c>
      <c r="M510" s="249"/>
      <c r="N510" s="249"/>
      <c r="O510" s="249"/>
      <c r="P510" s="249"/>
      <c r="Q510" s="249"/>
      <c r="R510" s="249"/>
      <c r="S510" s="249"/>
      <c r="T510" s="249"/>
      <c r="U510" s="249"/>
      <c r="V510" s="249"/>
    </row>
    <row r="511">
      <c r="A511" s="255" t="s">
        <v>1251</v>
      </c>
      <c r="B511" s="248" t="s">
        <v>748</v>
      </c>
      <c r="C511" s="248" t="s">
        <v>694</v>
      </c>
      <c r="D511" s="248" t="s">
        <v>512</v>
      </c>
      <c r="E511" s="248">
        <v>1797.0</v>
      </c>
      <c r="F511" s="256">
        <v>45373.0</v>
      </c>
      <c r="G511" s="248">
        <v>2024.0</v>
      </c>
      <c r="H511" s="248" t="s">
        <v>513</v>
      </c>
      <c r="I511" s="248" t="s">
        <v>514</v>
      </c>
      <c r="J511" s="248" t="s">
        <v>297</v>
      </c>
      <c r="K511" s="249" t="s">
        <v>66</v>
      </c>
      <c r="L511" s="257" t="s">
        <v>523</v>
      </c>
      <c r="M511" s="249"/>
      <c r="N511" s="249"/>
      <c r="O511" s="249"/>
      <c r="P511" s="249"/>
      <c r="Q511" s="249"/>
      <c r="R511" s="249"/>
      <c r="S511" s="249"/>
      <c r="T511" s="249"/>
      <c r="U511" s="249"/>
      <c r="V511" s="249"/>
    </row>
    <row r="512">
      <c r="A512" s="255" t="s">
        <v>1252</v>
      </c>
      <c r="B512" s="248" t="s">
        <v>590</v>
      </c>
      <c r="C512" s="248" t="s">
        <v>591</v>
      </c>
      <c r="D512" s="248" t="s">
        <v>520</v>
      </c>
      <c r="E512" s="248">
        <v>14503.0</v>
      </c>
      <c r="F512" s="256">
        <v>45373.0</v>
      </c>
      <c r="G512" s="248">
        <v>2024.0</v>
      </c>
      <c r="H512" s="248" t="s">
        <v>513</v>
      </c>
      <c r="I512" s="248" t="s">
        <v>514</v>
      </c>
      <c r="J512" s="248" t="s">
        <v>309</v>
      </c>
      <c r="K512" s="249" t="s">
        <v>66</v>
      </c>
      <c r="L512" s="257" t="s">
        <v>523</v>
      </c>
      <c r="M512" s="249"/>
      <c r="N512" s="249"/>
      <c r="O512" s="249"/>
      <c r="P512" s="249"/>
      <c r="Q512" s="249"/>
      <c r="R512" s="249"/>
      <c r="S512" s="249"/>
      <c r="T512" s="249"/>
      <c r="U512" s="249"/>
      <c r="V512" s="249"/>
    </row>
    <row r="513">
      <c r="A513" s="255" t="s">
        <v>1253</v>
      </c>
      <c r="B513" s="248" t="s">
        <v>573</v>
      </c>
      <c r="C513" s="248" t="s">
        <v>574</v>
      </c>
      <c r="D513" s="248" t="s">
        <v>520</v>
      </c>
      <c r="E513" s="248">
        <v>284326.0</v>
      </c>
      <c r="F513" s="256">
        <v>45372.0</v>
      </c>
      <c r="G513" s="248">
        <v>2024.0</v>
      </c>
      <c r="H513" s="248" t="s">
        <v>513</v>
      </c>
      <c r="I513" s="248" t="s">
        <v>514</v>
      </c>
      <c r="J513" s="248" t="s">
        <v>309</v>
      </c>
      <c r="K513" s="249" t="s">
        <v>66</v>
      </c>
      <c r="L513" s="257" t="s">
        <v>523</v>
      </c>
      <c r="M513" s="249"/>
      <c r="N513" s="249"/>
      <c r="O513" s="249"/>
      <c r="P513" s="249"/>
      <c r="Q513" s="249"/>
      <c r="R513" s="249"/>
      <c r="S513" s="249"/>
      <c r="T513" s="249"/>
      <c r="U513" s="249"/>
      <c r="V513" s="249"/>
    </row>
    <row r="514">
      <c r="A514" s="255" t="s">
        <v>1254</v>
      </c>
      <c r="B514" s="248" t="s">
        <v>698</v>
      </c>
      <c r="C514" s="248" t="s">
        <v>699</v>
      </c>
      <c r="D514" s="248" t="s">
        <v>512</v>
      </c>
      <c r="E514" s="248">
        <v>2767.0</v>
      </c>
      <c r="F514" s="256">
        <v>45372.0</v>
      </c>
      <c r="G514" s="248">
        <v>2024.0</v>
      </c>
      <c r="H514" s="248" t="s">
        <v>513</v>
      </c>
      <c r="I514" s="248" t="s">
        <v>998</v>
      </c>
      <c r="J514" s="248" t="s">
        <v>297</v>
      </c>
      <c r="K514" s="249" t="s">
        <v>66</v>
      </c>
      <c r="L514" s="257" t="s">
        <v>523</v>
      </c>
      <c r="M514" s="249"/>
      <c r="N514" s="249"/>
      <c r="O514" s="249"/>
      <c r="P514" s="249"/>
      <c r="Q514" s="249"/>
      <c r="R514" s="249"/>
      <c r="S514" s="249"/>
      <c r="T514" s="249"/>
      <c r="U514" s="249"/>
      <c r="V514" s="249"/>
    </row>
    <row r="515">
      <c r="A515" s="255" t="s">
        <v>1255</v>
      </c>
      <c r="B515" s="248" t="s">
        <v>573</v>
      </c>
      <c r="C515" s="248" t="s">
        <v>574</v>
      </c>
      <c r="D515" s="248" t="s">
        <v>512</v>
      </c>
      <c r="E515" s="248">
        <v>59861.0</v>
      </c>
      <c r="F515" s="256">
        <v>45370.0</v>
      </c>
      <c r="G515" s="248">
        <v>2024.0</v>
      </c>
      <c r="H515" s="248" t="s">
        <v>513</v>
      </c>
      <c r="I515" s="248" t="s">
        <v>514</v>
      </c>
      <c r="J515" s="248" t="s">
        <v>297</v>
      </c>
      <c r="K515" s="249" t="s">
        <v>66</v>
      </c>
      <c r="L515" s="257" t="s">
        <v>523</v>
      </c>
      <c r="M515" s="249"/>
      <c r="N515" s="249"/>
      <c r="O515" s="249"/>
      <c r="P515" s="249"/>
      <c r="Q515" s="249"/>
      <c r="R515" s="249"/>
      <c r="S515" s="249"/>
      <c r="T515" s="249"/>
      <c r="U515" s="249"/>
      <c r="V515" s="249"/>
    </row>
    <row r="516">
      <c r="A516" s="255" t="s">
        <v>1256</v>
      </c>
      <c r="B516" s="248" t="s">
        <v>538</v>
      </c>
      <c r="C516" s="248" t="s">
        <v>539</v>
      </c>
      <c r="D516" s="248" t="s">
        <v>512</v>
      </c>
      <c r="E516" s="248">
        <v>50034.0</v>
      </c>
      <c r="F516" s="256">
        <v>45369.0</v>
      </c>
      <c r="G516" s="248">
        <v>2024.0</v>
      </c>
      <c r="H516" s="248" t="s">
        <v>513</v>
      </c>
      <c r="I516" s="248" t="s">
        <v>514</v>
      </c>
      <c r="J516" s="248" t="s">
        <v>297</v>
      </c>
      <c r="K516" s="249" t="s">
        <v>66</v>
      </c>
      <c r="L516" s="257" t="s">
        <v>523</v>
      </c>
      <c r="M516" s="249"/>
      <c r="N516" s="249"/>
      <c r="O516" s="249"/>
      <c r="P516" s="249"/>
      <c r="Q516" s="249"/>
      <c r="R516" s="249"/>
      <c r="S516" s="249"/>
      <c r="T516" s="249"/>
      <c r="U516" s="249"/>
      <c r="V516" s="249"/>
    </row>
    <row r="517">
      <c r="A517" s="255" t="s">
        <v>1257</v>
      </c>
      <c r="B517" s="248" t="s">
        <v>538</v>
      </c>
      <c r="C517" s="248" t="s">
        <v>539</v>
      </c>
      <c r="D517" s="248" t="s">
        <v>512</v>
      </c>
      <c r="E517" s="248">
        <v>3414.0</v>
      </c>
      <c r="F517" s="256">
        <v>45369.0</v>
      </c>
      <c r="G517" s="248">
        <v>2024.0</v>
      </c>
      <c r="H517" s="248" t="s">
        <v>513</v>
      </c>
      <c r="I517" s="248" t="s">
        <v>514</v>
      </c>
      <c r="J517" s="248" t="s">
        <v>297</v>
      </c>
      <c r="K517" s="249" t="s">
        <v>66</v>
      </c>
      <c r="L517" s="257" t="s">
        <v>523</v>
      </c>
      <c r="M517" s="249"/>
      <c r="N517" s="249"/>
      <c r="O517" s="249"/>
      <c r="P517" s="249"/>
      <c r="Q517" s="249"/>
      <c r="R517" s="249"/>
      <c r="S517" s="249"/>
      <c r="T517" s="249"/>
      <c r="U517" s="249"/>
      <c r="V517" s="249"/>
    </row>
    <row r="518">
      <c r="A518" s="255" t="s">
        <v>1258</v>
      </c>
      <c r="B518" s="248" t="s">
        <v>1259</v>
      </c>
      <c r="C518" s="248" t="s">
        <v>740</v>
      </c>
      <c r="D518" s="248" t="s">
        <v>512</v>
      </c>
      <c r="E518" s="248">
        <v>26793.0</v>
      </c>
      <c r="F518" s="256">
        <v>45369.0</v>
      </c>
      <c r="G518" s="248">
        <v>2024.0</v>
      </c>
      <c r="H518" s="248" t="s">
        <v>513</v>
      </c>
      <c r="I518" s="248" t="s">
        <v>514</v>
      </c>
      <c r="J518" s="248" t="s">
        <v>297</v>
      </c>
      <c r="K518" s="249" t="s">
        <v>66</v>
      </c>
      <c r="L518" s="257" t="s">
        <v>523</v>
      </c>
      <c r="M518" s="249"/>
      <c r="N518" s="249"/>
      <c r="O518" s="249"/>
      <c r="P518" s="249"/>
      <c r="Q518" s="249"/>
      <c r="R518" s="249"/>
      <c r="S518" s="249"/>
      <c r="T518" s="249"/>
      <c r="U518" s="249"/>
      <c r="V518" s="249"/>
    </row>
    <row r="519">
      <c r="A519" s="255" t="s">
        <v>1260</v>
      </c>
      <c r="B519" s="248" t="s">
        <v>564</v>
      </c>
      <c r="C519" s="248" t="s">
        <v>565</v>
      </c>
      <c r="D519" s="248" t="s">
        <v>512</v>
      </c>
      <c r="E519" s="248">
        <v>65482.0</v>
      </c>
      <c r="F519" s="256">
        <v>45366.0</v>
      </c>
      <c r="G519" s="248">
        <v>2024.0</v>
      </c>
      <c r="H519" s="248" t="s">
        <v>513</v>
      </c>
      <c r="I519" s="248" t="s">
        <v>521</v>
      </c>
      <c r="J519" s="248" t="s">
        <v>297</v>
      </c>
      <c r="K519" s="249" t="s">
        <v>66</v>
      </c>
      <c r="L519" s="257" t="s">
        <v>523</v>
      </c>
      <c r="M519" s="249"/>
      <c r="N519" s="249"/>
      <c r="O519" s="249"/>
      <c r="P519" s="249"/>
      <c r="Q519" s="249"/>
      <c r="R519" s="249"/>
      <c r="S519" s="249"/>
      <c r="T519" s="249"/>
      <c r="U519" s="249"/>
      <c r="V519" s="249"/>
    </row>
    <row r="520">
      <c r="A520" s="255" t="s">
        <v>1261</v>
      </c>
      <c r="B520" s="248" t="s">
        <v>924</v>
      </c>
      <c r="C520" s="248" t="s">
        <v>725</v>
      </c>
      <c r="D520" s="248" t="s">
        <v>512</v>
      </c>
      <c r="E520" s="248">
        <v>1597.0</v>
      </c>
      <c r="F520" s="256">
        <v>45364.0</v>
      </c>
      <c r="G520" s="248">
        <v>2024.0</v>
      </c>
      <c r="H520" s="248" t="s">
        <v>546</v>
      </c>
      <c r="I520" s="248" t="s">
        <v>561</v>
      </c>
      <c r="J520" s="248" t="s">
        <v>297</v>
      </c>
      <c r="K520" s="249" t="s">
        <v>66</v>
      </c>
      <c r="L520" s="257" t="s">
        <v>523</v>
      </c>
      <c r="M520" s="249"/>
      <c r="N520" s="249"/>
      <c r="O520" s="249"/>
      <c r="P520" s="249"/>
      <c r="Q520" s="249"/>
      <c r="R520" s="249"/>
      <c r="S520" s="249"/>
      <c r="T520" s="249"/>
      <c r="U520" s="249"/>
      <c r="V520" s="249"/>
    </row>
    <row r="521">
      <c r="A521" s="255" t="s">
        <v>1262</v>
      </c>
      <c r="B521" s="248" t="s">
        <v>586</v>
      </c>
      <c r="C521" s="248" t="s">
        <v>587</v>
      </c>
      <c r="D521" s="248" t="s">
        <v>575</v>
      </c>
      <c r="E521" s="248">
        <v>2652.0</v>
      </c>
      <c r="F521" s="256">
        <v>45364.0</v>
      </c>
      <c r="G521" s="248">
        <v>2024.0</v>
      </c>
      <c r="H521" s="248" t="s">
        <v>513</v>
      </c>
      <c r="I521" s="248" t="s">
        <v>514</v>
      </c>
      <c r="J521" s="248" t="s">
        <v>297</v>
      </c>
      <c r="K521" s="249" t="s">
        <v>66</v>
      </c>
      <c r="L521" s="257" t="s">
        <v>523</v>
      </c>
      <c r="M521" s="249"/>
      <c r="N521" s="249"/>
      <c r="O521" s="249"/>
      <c r="P521" s="249"/>
      <c r="Q521" s="249"/>
      <c r="R521" s="249"/>
      <c r="S521" s="249"/>
      <c r="T521" s="249"/>
      <c r="U521" s="249"/>
      <c r="V521" s="249"/>
    </row>
    <row r="522">
      <c r="A522" s="255" t="s">
        <v>1263</v>
      </c>
      <c r="B522" s="248" t="s">
        <v>573</v>
      </c>
      <c r="C522" s="248" t="s">
        <v>574</v>
      </c>
      <c r="D522" s="248" t="s">
        <v>512</v>
      </c>
      <c r="E522" s="248">
        <v>3000.0</v>
      </c>
      <c r="F522" s="256">
        <v>45364.0</v>
      </c>
      <c r="G522" s="248">
        <v>2024.0</v>
      </c>
      <c r="H522" s="248" t="s">
        <v>513</v>
      </c>
      <c r="I522" s="248" t="s">
        <v>514</v>
      </c>
      <c r="J522" s="248" t="s">
        <v>297</v>
      </c>
      <c r="K522" s="249" t="s">
        <v>66</v>
      </c>
      <c r="L522" s="257" t="s">
        <v>523</v>
      </c>
      <c r="M522" s="249"/>
      <c r="N522" s="249"/>
      <c r="O522" s="249"/>
      <c r="P522" s="249"/>
      <c r="Q522" s="249"/>
      <c r="R522" s="249"/>
      <c r="S522" s="249"/>
      <c r="T522" s="249"/>
      <c r="U522" s="249"/>
      <c r="V522" s="249"/>
    </row>
    <row r="523">
      <c r="A523" s="255" t="s">
        <v>1264</v>
      </c>
      <c r="B523" s="248" t="s">
        <v>641</v>
      </c>
      <c r="C523" s="248" t="s">
        <v>633</v>
      </c>
      <c r="D523" s="248" t="s">
        <v>512</v>
      </c>
      <c r="E523" s="248">
        <v>84329.0</v>
      </c>
      <c r="F523" s="256">
        <v>45363.0</v>
      </c>
      <c r="G523" s="248">
        <v>2024.0</v>
      </c>
      <c r="H523" s="248" t="s">
        <v>513</v>
      </c>
      <c r="I523" s="248" t="s">
        <v>514</v>
      </c>
      <c r="J523" s="248" t="s">
        <v>297</v>
      </c>
      <c r="K523" s="249" t="s">
        <v>66</v>
      </c>
      <c r="L523" s="257" t="s">
        <v>523</v>
      </c>
      <c r="M523" s="249"/>
      <c r="N523" s="249"/>
      <c r="O523" s="249"/>
      <c r="P523" s="249"/>
      <c r="Q523" s="249"/>
      <c r="R523" s="249"/>
      <c r="S523" s="249"/>
      <c r="T523" s="249"/>
      <c r="U523" s="249"/>
      <c r="V523" s="249"/>
    </row>
    <row r="524">
      <c r="A524" s="255" t="s">
        <v>1265</v>
      </c>
      <c r="B524" s="248" t="s">
        <v>586</v>
      </c>
      <c r="C524" s="248" t="s">
        <v>587</v>
      </c>
      <c r="D524" s="248" t="s">
        <v>520</v>
      </c>
      <c r="E524" s="248">
        <v>16121.0</v>
      </c>
      <c r="F524" s="256">
        <v>45362.0</v>
      </c>
      <c r="G524" s="248">
        <v>2024.0</v>
      </c>
      <c r="H524" s="248" t="s">
        <v>513</v>
      </c>
      <c r="I524" s="248" t="s">
        <v>514</v>
      </c>
      <c r="J524" s="248" t="s">
        <v>309</v>
      </c>
      <c r="K524" s="249" t="s">
        <v>66</v>
      </c>
      <c r="L524" s="257" t="s">
        <v>523</v>
      </c>
      <c r="M524" s="249"/>
      <c r="N524" s="249"/>
      <c r="O524" s="249"/>
      <c r="P524" s="249"/>
      <c r="Q524" s="249"/>
      <c r="R524" s="249"/>
      <c r="S524" s="249"/>
      <c r="T524" s="249"/>
      <c r="U524" s="249"/>
      <c r="V524" s="249"/>
    </row>
    <row r="525">
      <c r="A525" s="255" t="s">
        <v>1266</v>
      </c>
      <c r="B525" s="248" t="s">
        <v>679</v>
      </c>
      <c r="C525" s="248" t="s">
        <v>663</v>
      </c>
      <c r="D525" s="248" t="s">
        <v>575</v>
      </c>
      <c r="E525" s="248">
        <v>3392.0</v>
      </c>
      <c r="F525" s="256">
        <v>45362.0</v>
      </c>
      <c r="G525" s="248">
        <v>2024.0</v>
      </c>
      <c r="H525" s="248" t="s">
        <v>546</v>
      </c>
      <c r="I525" s="248" t="s">
        <v>521</v>
      </c>
      <c r="J525" s="248" t="s">
        <v>297</v>
      </c>
      <c r="K525" s="249" t="s">
        <v>66</v>
      </c>
      <c r="L525" s="257" t="s">
        <v>523</v>
      </c>
      <c r="M525" s="249"/>
      <c r="N525" s="249"/>
      <c r="O525" s="249"/>
      <c r="P525" s="249"/>
      <c r="Q525" s="249"/>
      <c r="R525" s="249"/>
      <c r="S525" s="249"/>
      <c r="T525" s="249"/>
      <c r="U525" s="249"/>
      <c r="V525" s="249"/>
    </row>
    <row r="526">
      <c r="A526" s="255" t="s">
        <v>1267</v>
      </c>
      <c r="B526" s="248" t="s">
        <v>530</v>
      </c>
      <c r="C526" s="248" t="s">
        <v>531</v>
      </c>
      <c r="D526" s="248" t="s">
        <v>512</v>
      </c>
      <c r="E526" s="248">
        <v>10480.0</v>
      </c>
      <c r="F526" s="256">
        <v>45362.0</v>
      </c>
      <c r="G526" s="248">
        <v>2024.0</v>
      </c>
      <c r="H526" s="248" t="s">
        <v>513</v>
      </c>
      <c r="I526" s="248" t="s">
        <v>514</v>
      </c>
      <c r="J526" s="248" t="s">
        <v>309</v>
      </c>
      <c r="K526" s="249" t="s">
        <v>66</v>
      </c>
      <c r="L526" s="257" t="s">
        <v>523</v>
      </c>
      <c r="M526" s="249"/>
      <c r="N526" s="249"/>
      <c r="O526" s="249"/>
      <c r="P526" s="249"/>
      <c r="Q526" s="249"/>
      <c r="R526" s="249"/>
      <c r="S526" s="249"/>
      <c r="T526" s="249"/>
      <c r="U526" s="249"/>
      <c r="V526" s="249"/>
    </row>
    <row r="527">
      <c r="A527" s="255" t="s">
        <v>1268</v>
      </c>
      <c r="B527" s="248" t="s">
        <v>679</v>
      </c>
      <c r="C527" s="248" t="s">
        <v>663</v>
      </c>
      <c r="D527" s="248" t="s">
        <v>512</v>
      </c>
      <c r="E527" s="248">
        <v>62669.0</v>
      </c>
      <c r="F527" s="256">
        <v>45359.0</v>
      </c>
      <c r="G527" s="248">
        <v>2024.0</v>
      </c>
      <c r="H527" s="248" t="s">
        <v>513</v>
      </c>
      <c r="I527" s="248" t="s">
        <v>521</v>
      </c>
      <c r="J527" s="248" t="s">
        <v>297</v>
      </c>
      <c r="K527" s="249" t="s">
        <v>66</v>
      </c>
      <c r="L527" s="257" t="s">
        <v>523</v>
      </c>
      <c r="M527" s="249"/>
      <c r="N527" s="249"/>
      <c r="O527" s="249"/>
      <c r="P527" s="249"/>
      <c r="Q527" s="249"/>
      <c r="R527" s="249"/>
      <c r="S527" s="249"/>
      <c r="T527" s="249"/>
      <c r="U527" s="249"/>
      <c r="V527" s="249"/>
    </row>
    <row r="528">
      <c r="A528" s="255" t="s">
        <v>1269</v>
      </c>
      <c r="B528" s="248" t="s">
        <v>530</v>
      </c>
      <c r="C528" s="248" t="s">
        <v>531</v>
      </c>
      <c r="D528" s="248" t="s">
        <v>512</v>
      </c>
      <c r="E528" s="248">
        <v>1642.0</v>
      </c>
      <c r="F528" s="256">
        <v>45359.0</v>
      </c>
      <c r="G528" s="248">
        <v>2024.0</v>
      </c>
      <c r="H528" s="248" t="s">
        <v>513</v>
      </c>
      <c r="I528" s="248" t="s">
        <v>521</v>
      </c>
      <c r="J528" s="248" t="s">
        <v>297</v>
      </c>
      <c r="K528" s="249" t="s">
        <v>66</v>
      </c>
      <c r="L528" s="257" t="s">
        <v>523</v>
      </c>
      <c r="M528" s="249"/>
      <c r="N528" s="249"/>
      <c r="O528" s="249"/>
      <c r="P528" s="249"/>
      <c r="Q528" s="249"/>
      <c r="R528" s="249"/>
      <c r="S528" s="249"/>
      <c r="T528" s="249"/>
      <c r="U528" s="249"/>
      <c r="V528" s="249"/>
    </row>
    <row r="529">
      <c r="A529" s="255" t="s">
        <v>1270</v>
      </c>
      <c r="B529" s="248" t="s">
        <v>586</v>
      </c>
      <c r="C529" s="248" t="s">
        <v>587</v>
      </c>
      <c r="D529" s="248" t="s">
        <v>512</v>
      </c>
      <c r="E529" s="248">
        <v>1433.0</v>
      </c>
      <c r="F529" s="256">
        <v>45359.0</v>
      </c>
      <c r="G529" s="248">
        <v>2024.0</v>
      </c>
      <c r="H529" s="248" t="s">
        <v>513</v>
      </c>
      <c r="I529" s="248" t="s">
        <v>521</v>
      </c>
      <c r="J529" s="248" t="s">
        <v>297</v>
      </c>
      <c r="K529" s="249" t="s">
        <v>66</v>
      </c>
      <c r="L529" s="257" t="s">
        <v>523</v>
      </c>
      <c r="M529" s="249"/>
      <c r="N529" s="249"/>
      <c r="O529" s="249"/>
      <c r="P529" s="249"/>
      <c r="Q529" s="249"/>
      <c r="R529" s="249"/>
      <c r="S529" s="249"/>
      <c r="T529" s="249"/>
      <c r="U529" s="249"/>
      <c r="V529" s="249"/>
    </row>
    <row r="530">
      <c r="A530" s="255" t="s">
        <v>1271</v>
      </c>
      <c r="B530" s="248" t="s">
        <v>679</v>
      </c>
      <c r="C530" s="248" t="s">
        <v>663</v>
      </c>
      <c r="D530" s="248" t="s">
        <v>512</v>
      </c>
      <c r="E530" s="248">
        <v>3821.0</v>
      </c>
      <c r="F530" s="256">
        <v>45357.0</v>
      </c>
      <c r="G530" s="248">
        <v>2024.0</v>
      </c>
      <c r="H530" s="248" t="s">
        <v>513</v>
      </c>
      <c r="I530" s="248" t="s">
        <v>514</v>
      </c>
      <c r="J530" s="248" t="s">
        <v>297</v>
      </c>
      <c r="K530" s="249" t="s">
        <v>66</v>
      </c>
      <c r="L530" s="257" t="s">
        <v>523</v>
      </c>
      <c r="M530" s="249"/>
      <c r="N530" s="249"/>
      <c r="O530" s="249"/>
      <c r="P530" s="249"/>
      <c r="Q530" s="249"/>
      <c r="R530" s="249"/>
      <c r="S530" s="249"/>
      <c r="T530" s="249"/>
      <c r="U530" s="249"/>
      <c r="V530" s="249"/>
    </row>
    <row r="531">
      <c r="A531" s="255" t="s">
        <v>1272</v>
      </c>
      <c r="B531" s="248" t="s">
        <v>679</v>
      </c>
      <c r="C531" s="248" t="s">
        <v>663</v>
      </c>
      <c r="D531" s="248" t="s">
        <v>512</v>
      </c>
      <c r="E531" s="248">
        <v>1759.0</v>
      </c>
      <c r="F531" s="256">
        <v>45357.0</v>
      </c>
      <c r="G531" s="248">
        <v>2024.0</v>
      </c>
      <c r="H531" s="248" t="s">
        <v>513</v>
      </c>
      <c r="I531" s="248" t="s">
        <v>521</v>
      </c>
      <c r="J531" s="248" t="s">
        <v>297</v>
      </c>
      <c r="K531" s="249" t="s">
        <v>66</v>
      </c>
      <c r="L531" s="257" t="s">
        <v>523</v>
      </c>
      <c r="M531" s="249"/>
      <c r="N531" s="249"/>
      <c r="O531" s="249"/>
      <c r="P531" s="249"/>
      <c r="Q531" s="249"/>
      <c r="R531" s="249"/>
      <c r="S531" s="249"/>
      <c r="T531" s="249"/>
      <c r="U531" s="249"/>
      <c r="V531" s="249"/>
    </row>
    <row r="532">
      <c r="A532" s="255" t="s">
        <v>1273</v>
      </c>
      <c r="B532" s="248" t="s">
        <v>668</v>
      </c>
      <c r="C532" s="248" t="s">
        <v>669</v>
      </c>
      <c r="D532" s="248" t="s">
        <v>512</v>
      </c>
      <c r="E532" s="248">
        <v>85902.0</v>
      </c>
      <c r="F532" s="256">
        <v>45356.0</v>
      </c>
      <c r="G532" s="248">
        <v>2024.0</v>
      </c>
      <c r="H532" s="248" t="s">
        <v>513</v>
      </c>
      <c r="I532" s="248" t="s">
        <v>521</v>
      </c>
      <c r="J532" s="248" t="s">
        <v>297</v>
      </c>
      <c r="K532" s="249" t="s">
        <v>66</v>
      </c>
      <c r="L532" s="257" t="s">
        <v>523</v>
      </c>
      <c r="M532" s="249"/>
      <c r="N532" s="249"/>
      <c r="O532" s="249"/>
      <c r="P532" s="249"/>
      <c r="Q532" s="249"/>
      <c r="R532" s="249"/>
      <c r="S532" s="249"/>
      <c r="T532" s="249"/>
      <c r="U532" s="249"/>
      <c r="V532" s="249"/>
    </row>
    <row r="533">
      <c r="A533" s="255" t="s">
        <v>1274</v>
      </c>
      <c r="B533" s="248" t="s">
        <v>727</v>
      </c>
      <c r="C533" s="248" t="s">
        <v>658</v>
      </c>
      <c r="D533" s="248" t="s">
        <v>512</v>
      </c>
      <c r="E533" s="248">
        <v>1138.0</v>
      </c>
      <c r="F533" s="256">
        <v>45355.0</v>
      </c>
      <c r="G533" s="248">
        <v>2024.0</v>
      </c>
      <c r="H533" s="248" t="s">
        <v>513</v>
      </c>
      <c r="I533" s="248" t="s">
        <v>514</v>
      </c>
      <c r="J533" s="248" t="s">
        <v>297</v>
      </c>
      <c r="K533" s="249" t="s">
        <v>66</v>
      </c>
      <c r="L533" s="257" t="s">
        <v>523</v>
      </c>
      <c r="M533" s="249"/>
      <c r="N533" s="249"/>
      <c r="O533" s="249"/>
      <c r="P533" s="249"/>
      <c r="Q533" s="249"/>
      <c r="R533" s="249"/>
      <c r="S533" s="249"/>
      <c r="T533" s="249"/>
      <c r="U533" s="249"/>
      <c r="V533" s="249"/>
    </row>
    <row r="534">
      <c r="A534" s="255" t="s">
        <v>1275</v>
      </c>
      <c r="B534" s="248" t="s">
        <v>542</v>
      </c>
      <c r="C534" s="248" t="s">
        <v>543</v>
      </c>
      <c r="D534" s="248" t="s">
        <v>512</v>
      </c>
      <c r="E534" s="248">
        <v>1505.0</v>
      </c>
      <c r="F534" s="256">
        <v>45355.0</v>
      </c>
      <c r="G534" s="248">
        <v>2024.0</v>
      </c>
      <c r="H534" s="248" t="s">
        <v>513</v>
      </c>
      <c r="I534" s="248" t="s">
        <v>514</v>
      </c>
      <c r="J534" s="248" t="s">
        <v>309</v>
      </c>
      <c r="K534" s="249" t="s">
        <v>66</v>
      </c>
      <c r="L534" s="257" t="s">
        <v>523</v>
      </c>
      <c r="M534" s="249"/>
      <c r="N534" s="249"/>
      <c r="O534" s="249"/>
      <c r="P534" s="249"/>
      <c r="Q534" s="249"/>
      <c r="R534" s="249"/>
      <c r="S534" s="249"/>
      <c r="T534" s="249"/>
      <c r="U534" s="249"/>
      <c r="V534" s="249"/>
    </row>
    <row r="535">
      <c r="A535" s="255" t="s">
        <v>1276</v>
      </c>
      <c r="B535" s="248" t="s">
        <v>924</v>
      </c>
      <c r="C535" s="248" t="s">
        <v>725</v>
      </c>
      <c r="D535" s="248" t="s">
        <v>512</v>
      </c>
      <c r="E535" s="248">
        <v>181820.0</v>
      </c>
      <c r="F535" s="256">
        <v>45351.0</v>
      </c>
      <c r="G535" s="248">
        <v>2024.0</v>
      </c>
      <c r="H535" s="248" t="s">
        <v>513</v>
      </c>
      <c r="I535" s="248" t="s">
        <v>514</v>
      </c>
      <c r="J535" s="248" t="s">
        <v>297</v>
      </c>
      <c r="K535" s="249" t="s">
        <v>66</v>
      </c>
      <c r="L535" s="257" t="s">
        <v>523</v>
      </c>
      <c r="M535" s="249"/>
      <c r="N535" s="249"/>
      <c r="O535" s="249"/>
      <c r="P535" s="249"/>
      <c r="Q535" s="249"/>
      <c r="R535" s="249"/>
      <c r="S535" s="249"/>
      <c r="T535" s="249"/>
      <c r="U535" s="249"/>
      <c r="V535" s="249"/>
    </row>
    <row r="536">
      <c r="A536" s="255" t="s">
        <v>1277</v>
      </c>
      <c r="B536" s="248" t="s">
        <v>607</v>
      </c>
      <c r="C536" s="248" t="s">
        <v>608</v>
      </c>
      <c r="D536" s="248" t="s">
        <v>512</v>
      </c>
      <c r="E536" s="248">
        <v>83543.0</v>
      </c>
      <c r="F536" s="256">
        <v>45351.0</v>
      </c>
      <c r="G536" s="248">
        <v>2024.0</v>
      </c>
      <c r="H536" s="248" t="s">
        <v>513</v>
      </c>
      <c r="I536" s="248" t="s">
        <v>514</v>
      </c>
      <c r="J536" s="248" t="s">
        <v>297</v>
      </c>
      <c r="K536" s="249" t="s">
        <v>66</v>
      </c>
      <c r="L536" s="257" t="s">
        <v>523</v>
      </c>
      <c r="M536" s="249"/>
      <c r="N536" s="249"/>
      <c r="O536" s="249"/>
      <c r="P536" s="249"/>
      <c r="Q536" s="249"/>
      <c r="R536" s="249"/>
      <c r="S536" s="249"/>
      <c r="T536" s="249"/>
      <c r="U536" s="249"/>
      <c r="V536" s="249"/>
    </row>
    <row r="537">
      <c r="A537" s="255" t="s">
        <v>1278</v>
      </c>
      <c r="B537" s="248" t="s">
        <v>705</v>
      </c>
      <c r="C537" s="248" t="s">
        <v>706</v>
      </c>
      <c r="D537" s="248" t="s">
        <v>575</v>
      </c>
      <c r="E537" s="248">
        <v>2398.0</v>
      </c>
      <c r="F537" s="256">
        <v>45351.0</v>
      </c>
      <c r="G537" s="248">
        <v>2024.0</v>
      </c>
      <c r="H537" s="248" t="s">
        <v>513</v>
      </c>
      <c r="I537" s="248" t="s">
        <v>514</v>
      </c>
      <c r="J537" s="248" t="s">
        <v>297</v>
      </c>
      <c r="K537" s="249" t="s">
        <v>66</v>
      </c>
      <c r="L537" s="257" t="s">
        <v>523</v>
      </c>
      <c r="M537" s="249"/>
      <c r="N537" s="249"/>
      <c r="O537" s="249"/>
      <c r="P537" s="249"/>
      <c r="Q537" s="249"/>
      <c r="R537" s="249"/>
      <c r="S537" s="249"/>
      <c r="T537" s="249"/>
      <c r="U537" s="249"/>
      <c r="V537" s="249"/>
    </row>
    <row r="538">
      <c r="A538" s="255" t="s">
        <v>1279</v>
      </c>
      <c r="B538" s="248" t="s">
        <v>924</v>
      </c>
      <c r="C538" s="248" t="s">
        <v>725</v>
      </c>
      <c r="D538" s="248" t="s">
        <v>520</v>
      </c>
      <c r="E538" s="248">
        <v>2191.0</v>
      </c>
      <c r="F538" s="256">
        <v>45350.0</v>
      </c>
      <c r="G538" s="248">
        <v>2024.0</v>
      </c>
      <c r="H538" s="248" t="s">
        <v>513</v>
      </c>
      <c r="I538" s="248" t="s">
        <v>514</v>
      </c>
      <c r="J538" s="248" t="s">
        <v>309</v>
      </c>
      <c r="K538" s="249" t="s">
        <v>66</v>
      </c>
      <c r="L538" s="257" t="s">
        <v>523</v>
      </c>
      <c r="M538" s="249"/>
      <c r="N538" s="249"/>
      <c r="O538" s="249"/>
      <c r="P538" s="249"/>
      <c r="Q538" s="249"/>
      <c r="R538" s="249"/>
      <c r="S538" s="249"/>
      <c r="T538" s="249"/>
      <c r="U538" s="249"/>
      <c r="V538" s="249"/>
    </row>
    <row r="539">
      <c r="A539" s="255" t="s">
        <v>1280</v>
      </c>
      <c r="B539" s="248" t="s">
        <v>573</v>
      </c>
      <c r="C539" s="248" t="s">
        <v>574</v>
      </c>
      <c r="D539" s="248" t="s">
        <v>512</v>
      </c>
      <c r="E539" s="248">
        <v>177101.0</v>
      </c>
      <c r="F539" s="256">
        <v>45349.0</v>
      </c>
      <c r="G539" s="248">
        <v>2024.0</v>
      </c>
      <c r="H539" s="248" t="s">
        <v>513</v>
      </c>
      <c r="I539" s="248" t="s">
        <v>514</v>
      </c>
      <c r="J539" s="248" t="s">
        <v>297</v>
      </c>
      <c r="K539" s="249" t="s">
        <v>66</v>
      </c>
      <c r="L539" s="257" t="s">
        <v>523</v>
      </c>
      <c r="M539" s="249"/>
      <c r="N539" s="249"/>
      <c r="O539" s="249"/>
      <c r="P539" s="249"/>
      <c r="Q539" s="249"/>
      <c r="R539" s="249"/>
      <c r="S539" s="249"/>
      <c r="T539" s="249"/>
      <c r="U539" s="249"/>
      <c r="V539" s="249"/>
    </row>
    <row r="540">
      <c r="A540" s="255" t="s">
        <v>1281</v>
      </c>
      <c r="B540" s="248" t="s">
        <v>679</v>
      </c>
      <c r="C540" s="248" t="s">
        <v>663</v>
      </c>
      <c r="D540" s="248" t="s">
        <v>512</v>
      </c>
      <c r="E540" s="248">
        <v>86981.0</v>
      </c>
      <c r="F540" s="256">
        <v>45346.0</v>
      </c>
      <c r="G540" s="248">
        <v>2024.0</v>
      </c>
      <c r="H540" s="248" t="s">
        <v>513</v>
      </c>
      <c r="I540" s="248" t="s">
        <v>514</v>
      </c>
      <c r="J540" s="248" t="s">
        <v>297</v>
      </c>
      <c r="K540" s="249" t="s">
        <v>66</v>
      </c>
      <c r="L540" s="257" t="s">
        <v>523</v>
      </c>
      <c r="M540" s="249"/>
      <c r="N540" s="249"/>
      <c r="O540" s="249"/>
      <c r="P540" s="249"/>
      <c r="Q540" s="249"/>
      <c r="R540" s="249"/>
      <c r="S540" s="249"/>
      <c r="T540" s="249"/>
      <c r="U540" s="249"/>
      <c r="V540" s="249"/>
    </row>
    <row r="541">
      <c r="A541" s="255" t="s">
        <v>1282</v>
      </c>
      <c r="B541" s="248" t="s">
        <v>679</v>
      </c>
      <c r="C541" s="248" t="s">
        <v>663</v>
      </c>
      <c r="D541" s="248" t="s">
        <v>520</v>
      </c>
      <c r="E541" s="248">
        <v>54725.0</v>
      </c>
      <c r="F541" s="256">
        <v>45345.0</v>
      </c>
      <c r="G541" s="248">
        <v>2024.0</v>
      </c>
      <c r="H541" s="248" t="s">
        <v>513</v>
      </c>
      <c r="I541" s="248" t="s">
        <v>514</v>
      </c>
      <c r="J541" s="248" t="s">
        <v>309</v>
      </c>
      <c r="K541" s="249" t="s">
        <v>66</v>
      </c>
      <c r="L541" s="257" t="s">
        <v>523</v>
      </c>
      <c r="M541" s="249"/>
      <c r="N541" s="249"/>
      <c r="O541" s="249"/>
      <c r="P541" s="249"/>
      <c r="Q541" s="249"/>
      <c r="R541" s="249"/>
      <c r="S541" s="249"/>
      <c r="T541" s="249"/>
      <c r="U541" s="249"/>
      <c r="V541" s="249"/>
    </row>
    <row r="542">
      <c r="A542" s="255" t="s">
        <v>1283</v>
      </c>
      <c r="B542" s="248" t="s">
        <v>573</v>
      </c>
      <c r="C542" s="248" t="s">
        <v>574</v>
      </c>
      <c r="D542" s="248" t="s">
        <v>520</v>
      </c>
      <c r="E542" s="248">
        <v>791273.0</v>
      </c>
      <c r="F542" s="256">
        <v>45345.0</v>
      </c>
      <c r="G542" s="248">
        <v>2024.0</v>
      </c>
      <c r="H542" s="248" t="s">
        <v>513</v>
      </c>
      <c r="I542" s="248" t="s">
        <v>514</v>
      </c>
      <c r="J542" s="248" t="s">
        <v>309</v>
      </c>
      <c r="K542" s="249" t="s">
        <v>66</v>
      </c>
      <c r="L542" s="257" t="s">
        <v>523</v>
      </c>
      <c r="M542" s="249"/>
      <c r="N542" s="249"/>
      <c r="O542" s="249"/>
      <c r="P542" s="249"/>
      <c r="Q542" s="249"/>
      <c r="R542" s="249"/>
      <c r="S542" s="249"/>
      <c r="T542" s="249"/>
      <c r="U542" s="249"/>
      <c r="V542" s="249"/>
    </row>
    <row r="543">
      <c r="A543" s="255" t="s">
        <v>1284</v>
      </c>
      <c r="B543" s="248" t="s">
        <v>573</v>
      </c>
      <c r="C543" s="248" t="s">
        <v>574</v>
      </c>
      <c r="D543" s="248" t="s">
        <v>512</v>
      </c>
      <c r="E543" s="248">
        <v>656086.0</v>
      </c>
      <c r="F543" s="256">
        <v>45345.0</v>
      </c>
      <c r="G543" s="248">
        <v>2024.0</v>
      </c>
      <c r="H543" s="248" t="s">
        <v>513</v>
      </c>
      <c r="I543" s="248" t="s">
        <v>514</v>
      </c>
      <c r="J543" s="248" t="s">
        <v>297</v>
      </c>
      <c r="K543" s="249" t="s">
        <v>66</v>
      </c>
      <c r="L543" s="257" t="s">
        <v>523</v>
      </c>
      <c r="M543" s="249"/>
      <c r="N543" s="249"/>
      <c r="O543" s="249"/>
      <c r="P543" s="249"/>
      <c r="Q543" s="249"/>
      <c r="R543" s="249"/>
      <c r="S543" s="249"/>
      <c r="T543" s="249"/>
      <c r="U543" s="249"/>
      <c r="V543" s="249"/>
    </row>
    <row r="544">
      <c r="A544" s="255" t="s">
        <v>1285</v>
      </c>
      <c r="B544" s="248" t="s">
        <v>721</v>
      </c>
      <c r="C544" s="248" t="s">
        <v>649</v>
      </c>
      <c r="D544" s="248" t="s">
        <v>512</v>
      </c>
      <c r="E544" s="248">
        <v>1347.0</v>
      </c>
      <c r="F544" s="256">
        <v>45344.0</v>
      </c>
      <c r="G544" s="248">
        <v>2024.0</v>
      </c>
      <c r="H544" s="248" t="s">
        <v>513</v>
      </c>
      <c r="I544" s="248" t="s">
        <v>521</v>
      </c>
      <c r="J544" s="248" t="s">
        <v>297</v>
      </c>
      <c r="K544" s="249" t="s">
        <v>66</v>
      </c>
      <c r="L544" s="257" t="s">
        <v>523</v>
      </c>
      <c r="M544" s="249"/>
      <c r="N544" s="249"/>
      <c r="O544" s="249"/>
      <c r="P544" s="249"/>
      <c r="Q544" s="249"/>
      <c r="R544" s="249"/>
      <c r="S544" s="249"/>
      <c r="T544" s="249"/>
      <c r="U544" s="249"/>
      <c r="V544" s="249"/>
    </row>
    <row r="545">
      <c r="A545" s="255" t="s">
        <v>1286</v>
      </c>
      <c r="B545" s="248" t="s">
        <v>510</v>
      </c>
      <c r="C545" s="248" t="s">
        <v>511</v>
      </c>
      <c r="D545" s="248" t="s">
        <v>520</v>
      </c>
      <c r="E545" s="248">
        <v>22216.0</v>
      </c>
      <c r="F545" s="256">
        <v>45344.0</v>
      </c>
      <c r="G545" s="248">
        <v>2024.0</v>
      </c>
      <c r="H545" s="248" t="s">
        <v>513</v>
      </c>
      <c r="I545" s="248" t="s">
        <v>521</v>
      </c>
      <c r="J545" s="248" t="s">
        <v>309</v>
      </c>
      <c r="K545" s="249" t="s">
        <v>66</v>
      </c>
      <c r="L545" s="257" t="s">
        <v>523</v>
      </c>
      <c r="M545" s="249"/>
      <c r="N545" s="249"/>
      <c r="O545" s="249"/>
      <c r="P545" s="249"/>
      <c r="Q545" s="249"/>
      <c r="R545" s="249"/>
      <c r="S545" s="249"/>
      <c r="T545" s="249"/>
      <c r="U545" s="249"/>
      <c r="V545" s="249"/>
    </row>
    <row r="546">
      <c r="A546" s="255" t="s">
        <v>1287</v>
      </c>
      <c r="B546" s="248" t="s">
        <v>679</v>
      </c>
      <c r="C546" s="248" t="s">
        <v>663</v>
      </c>
      <c r="D546" s="248" t="s">
        <v>512</v>
      </c>
      <c r="E546" s="248">
        <v>2843.0</v>
      </c>
      <c r="F546" s="256">
        <v>45343.0</v>
      </c>
      <c r="G546" s="248">
        <v>2024.0</v>
      </c>
      <c r="H546" s="248" t="s">
        <v>546</v>
      </c>
      <c r="I546" s="248" t="s">
        <v>547</v>
      </c>
      <c r="J546" s="248" t="s">
        <v>297</v>
      </c>
      <c r="K546" s="249" t="s">
        <v>66</v>
      </c>
      <c r="L546" s="257" t="s">
        <v>523</v>
      </c>
      <c r="M546" s="249"/>
      <c r="N546" s="249"/>
      <c r="O546" s="249"/>
      <c r="P546" s="249"/>
      <c r="Q546" s="249"/>
      <c r="R546" s="249"/>
      <c r="S546" s="249"/>
      <c r="T546" s="249"/>
      <c r="U546" s="249"/>
      <c r="V546" s="249"/>
    </row>
    <row r="547">
      <c r="A547" s="255" t="s">
        <v>1288</v>
      </c>
      <c r="B547" s="248" t="s">
        <v>590</v>
      </c>
      <c r="C547" s="248" t="s">
        <v>591</v>
      </c>
      <c r="D547" s="248" t="s">
        <v>512</v>
      </c>
      <c r="E547" s="248">
        <v>308829.0</v>
      </c>
      <c r="F547" s="256">
        <v>45342.0</v>
      </c>
      <c r="G547" s="248">
        <v>2024.0</v>
      </c>
      <c r="H547" s="248" t="s">
        <v>513</v>
      </c>
      <c r="I547" s="248" t="s">
        <v>514</v>
      </c>
      <c r="J547" s="248" t="s">
        <v>297</v>
      </c>
      <c r="K547" s="249" t="s">
        <v>66</v>
      </c>
      <c r="L547" s="257" t="s">
        <v>523</v>
      </c>
      <c r="M547" s="249"/>
      <c r="N547" s="249"/>
      <c r="O547" s="249"/>
      <c r="P547" s="249"/>
      <c r="Q547" s="249"/>
      <c r="R547" s="249"/>
      <c r="S547" s="249"/>
      <c r="T547" s="249"/>
      <c r="U547" s="249"/>
      <c r="V547" s="249"/>
    </row>
    <row r="548">
      <c r="A548" s="255" t="s">
        <v>1289</v>
      </c>
      <c r="B548" s="248" t="s">
        <v>850</v>
      </c>
      <c r="C548" s="248" t="s">
        <v>723</v>
      </c>
      <c r="D548" s="248" t="s">
        <v>512</v>
      </c>
      <c r="E548" s="248">
        <v>21000.0</v>
      </c>
      <c r="F548" s="256">
        <v>45338.0</v>
      </c>
      <c r="G548" s="248">
        <v>2024.0</v>
      </c>
      <c r="H548" s="248" t="s">
        <v>546</v>
      </c>
      <c r="I548" s="248" t="s">
        <v>521</v>
      </c>
      <c r="J548" s="248" t="s">
        <v>297</v>
      </c>
      <c r="K548" s="249" t="s">
        <v>66</v>
      </c>
      <c r="L548" s="257" t="s">
        <v>523</v>
      </c>
      <c r="M548" s="249"/>
      <c r="N548" s="249"/>
      <c r="O548" s="249"/>
      <c r="P548" s="249"/>
      <c r="Q548" s="249"/>
      <c r="R548" s="249"/>
      <c r="S548" s="249"/>
      <c r="T548" s="249"/>
      <c r="U548" s="249"/>
      <c r="V548" s="249"/>
    </row>
    <row r="549">
      <c r="A549" s="255" t="s">
        <v>1290</v>
      </c>
      <c r="B549" s="248" t="s">
        <v>1259</v>
      </c>
      <c r="C549" s="248" t="s">
        <v>740</v>
      </c>
      <c r="D549" s="248" t="s">
        <v>512</v>
      </c>
      <c r="E549" s="248">
        <v>9013.0</v>
      </c>
      <c r="F549" s="256">
        <v>45338.0</v>
      </c>
      <c r="G549" s="248">
        <v>2024.0</v>
      </c>
      <c r="H549" s="248" t="s">
        <v>513</v>
      </c>
      <c r="I549" s="248" t="s">
        <v>514</v>
      </c>
      <c r="J549" s="248" t="s">
        <v>297</v>
      </c>
      <c r="K549" s="249" t="s">
        <v>66</v>
      </c>
      <c r="L549" s="257" t="s">
        <v>523</v>
      </c>
      <c r="M549" s="249"/>
      <c r="N549" s="249"/>
      <c r="O549" s="249"/>
      <c r="P549" s="249"/>
      <c r="Q549" s="249"/>
      <c r="R549" s="249"/>
      <c r="S549" s="249"/>
      <c r="T549" s="249"/>
      <c r="U549" s="249"/>
      <c r="V549" s="249"/>
    </row>
    <row r="550">
      <c r="A550" s="255" t="s">
        <v>1291</v>
      </c>
      <c r="B550" s="248" t="s">
        <v>824</v>
      </c>
      <c r="C550" s="248" t="s">
        <v>743</v>
      </c>
      <c r="D550" s="248" t="s">
        <v>520</v>
      </c>
      <c r="E550" s="248">
        <v>2189.0</v>
      </c>
      <c r="F550" s="256">
        <v>45338.0</v>
      </c>
      <c r="G550" s="248">
        <v>2024.0</v>
      </c>
      <c r="H550" s="248" t="s">
        <v>546</v>
      </c>
      <c r="I550" s="248" t="s">
        <v>514</v>
      </c>
      <c r="J550" s="248" t="s">
        <v>309</v>
      </c>
      <c r="K550" s="249" t="s">
        <v>66</v>
      </c>
      <c r="L550" s="257" t="s">
        <v>523</v>
      </c>
      <c r="M550" s="249"/>
      <c r="N550" s="249"/>
      <c r="O550" s="249"/>
      <c r="P550" s="249"/>
      <c r="Q550" s="249"/>
      <c r="R550" s="249"/>
      <c r="S550" s="249"/>
      <c r="T550" s="249"/>
      <c r="U550" s="249"/>
      <c r="V550" s="249"/>
    </row>
    <row r="551">
      <c r="A551" s="255" t="s">
        <v>1292</v>
      </c>
      <c r="B551" s="248" t="s">
        <v>607</v>
      </c>
      <c r="C551" s="248" t="s">
        <v>608</v>
      </c>
      <c r="D551" s="248" t="s">
        <v>512</v>
      </c>
      <c r="E551" s="248">
        <v>75667.0</v>
      </c>
      <c r="F551" s="256">
        <v>45338.0</v>
      </c>
      <c r="G551" s="248">
        <v>2024.0</v>
      </c>
      <c r="H551" s="248" t="s">
        <v>513</v>
      </c>
      <c r="I551" s="248" t="s">
        <v>514</v>
      </c>
      <c r="J551" s="248" t="s">
        <v>297</v>
      </c>
      <c r="K551" s="249" t="s">
        <v>66</v>
      </c>
      <c r="L551" s="257" t="s">
        <v>523</v>
      </c>
      <c r="M551" s="249"/>
      <c r="N551" s="249"/>
      <c r="O551" s="249"/>
      <c r="P551" s="249"/>
      <c r="Q551" s="249"/>
      <c r="R551" s="249"/>
      <c r="S551" s="249"/>
      <c r="T551" s="249"/>
      <c r="U551" s="249"/>
      <c r="V551" s="249"/>
    </row>
    <row r="552">
      <c r="A552" s="255" t="s">
        <v>1293</v>
      </c>
      <c r="B552" s="248" t="s">
        <v>845</v>
      </c>
      <c r="C552" s="248" t="s">
        <v>733</v>
      </c>
      <c r="D552" s="248" t="s">
        <v>575</v>
      </c>
      <c r="E552" s="248">
        <v>38912.0</v>
      </c>
      <c r="F552" s="256">
        <v>45337.0</v>
      </c>
      <c r="G552" s="248">
        <v>2024.0</v>
      </c>
      <c r="H552" s="248" t="s">
        <v>513</v>
      </c>
      <c r="I552" s="248" t="s">
        <v>514</v>
      </c>
      <c r="J552" s="248" t="s">
        <v>297</v>
      </c>
      <c r="K552" s="249" t="s">
        <v>66</v>
      </c>
      <c r="L552" s="257" t="s">
        <v>523</v>
      </c>
      <c r="M552" s="249"/>
      <c r="N552" s="249"/>
      <c r="O552" s="249"/>
      <c r="P552" s="249"/>
      <c r="Q552" s="249"/>
      <c r="R552" s="249"/>
      <c r="S552" s="249"/>
      <c r="T552" s="249"/>
      <c r="U552" s="249"/>
      <c r="V552" s="249"/>
    </row>
    <row r="553">
      <c r="A553" s="255" t="s">
        <v>1294</v>
      </c>
      <c r="B553" s="248" t="s">
        <v>542</v>
      </c>
      <c r="C553" s="248" t="s">
        <v>543</v>
      </c>
      <c r="D553" s="248" t="s">
        <v>512</v>
      </c>
      <c r="E553" s="248">
        <v>1273.0</v>
      </c>
      <c r="F553" s="256">
        <v>45337.0</v>
      </c>
      <c r="G553" s="248">
        <v>2024.0</v>
      </c>
      <c r="H553" s="248" t="s">
        <v>513</v>
      </c>
      <c r="I553" s="248" t="s">
        <v>514</v>
      </c>
      <c r="J553" s="248" t="s">
        <v>297</v>
      </c>
      <c r="K553" s="249" t="s">
        <v>66</v>
      </c>
      <c r="L553" s="257" t="s">
        <v>523</v>
      </c>
      <c r="M553" s="249"/>
      <c r="N553" s="249"/>
      <c r="O553" s="249"/>
      <c r="P553" s="249"/>
      <c r="Q553" s="249"/>
      <c r="R553" s="249"/>
      <c r="S553" s="249"/>
      <c r="T553" s="249"/>
      <c r="U553" s="249"/>
      <c r="V553" s="249"/>
    </row>
    <row r="554">
      <c r="A554" s="255" t="s">
        <v>1295</v>
      </c>
      <c r="B554" s="248" t="s">
        <v>679</v>
      </c>
      <c r="C554" s="248" t="s">
        <v>663</v>
      </c>
      <c r="D554" s="248" t="s">
        <v>512</v>
      </c>
      <c r="E554" s="248">
        <v>3954.0</v>
      </c>
      <c r="F554" s="256">
        <v>45337.0</v>
      </c>
      <c r="G554" s="248">
        <v>2024.0</v>
      </c>
      <c r="H554" s="248" t="s">
        <v>513</v>
      </c>
      <c r="I554" s="248" t="s">
        <v>521</v>
      </c>
      <c r="J554" s="248" t="s">
        <v>297</v>
      </c>
      <c r="K554" s="249" t="s">
        <v>66</v>
      </c>
      <c r="L554" s="257" t="s">
        <v>523</v>
      </c>
      <c r="M554" s="249"/>
      <c r="N554" s="249"/>
      <c r="O554" s="249"/>
      <c r="P554" s="249"/>
      <c r="Q554" s="249"/>
      <c r="R554" s="249"/>
      <c r="S554" s="249"/>
      <c r="T554" s="249"/>
      <c r="U554" s="249"/>
      <c r="V554" s="249"/>
    </row>
    <row r="555">
      <c r="A555" s="255" t="s">
        <v>1150</v>
      </c>
      <c r="B555" s="248" t="s">
        <v>815</v>
      </c>
      <c r="C555" s="248" t="s">
        <v>728</v>
      </c>
      <c r="D555" s="248" t="s">
        <v>575</v>
      </c>
      <c r="E555" s="248">
        <v>3480.0</v>
      </c>
      <c r="F555" s="256">
        <v>45336.0</v>
      </c>
      <c r="G555" s="248">
        <v>2024.0</v>
      </c>
      <c r="H555" s="248" t="s">
        <v>546</v>
      </c>
      <c r="I555" s="248" t="s">
        <v>547</v>
      </c>
      <c r="J555" s="248" t="s">
        <v>309</v>
      </c>
      <c r="K555" s="249" t="s">
        <v>66</v>
      </c>
      <c r="L555" s="257" t="s">
        <v>523</v>
      </c>
      <c r="M555" s="249"/>
      <c r="N555" s="249"/>
      <c r="O555" s="249"/>
      <c r="P555" s="249"/>
      <c r="Q555" s="249"/>
      <c r="R555" s="249"/>
      <c r="S555" s="249"/>
      <c r="T555" s="249"/>
      <c r="U555" s="249"/>
      <c r="V555" s="249"/>
    </row>
    <row r="556">
      <c r="A556" s="255" t="s">
        <v>1296</v>
      </c>
      <c r="B556" s="248" t="s">
        <v>590</v>
      </c>
      <c r="C556" s="248" t="s">
        <v>591</v>
      </c>
      <c r="D556" s="248" t="s">
        <v>512</v>
      </c>
      <c r="E556" s="248">
        <v>1096.0</v>
      </c>
      <c r="F556" s="256">
        <v>45336.0</v>
      </c>
      <c r="G556" s="248">
        <v>2024.0</v>
      </c>
      <c r="H556" s="248" t="s">
        <v>513</v>
      </c>
      <c r="I556" s="248" t="s">
        <v>514</v>
      </c>
      <c r="J556" s="248" t="s">
        <v>297</v>
      </c>
      <c r="K556" s="249" t="s">
        <v>66</v>
      </c>
      <c r="L556" s="257" t="s">
        <v>523</v>
      </c>
      <c r="M556" s="249"/>
      <c r="N556" s="249"/>
      <c r="O556" s="249"/>
      <c r="P556" s="249"/>
      <c r="Q556" s="249"/>
      <c r="R556" s="249"/>
      <c r="S556" s="249"/>
      <c r="T556" s="249"/>
      <c r="U556" s="249"/>
      <c r="V556" s="249"/>
    </row>
    <row r="557">
      <c r="A557" s="255" t="s">
        <v>1297</v>
      </c>
      <c r="B557" s="248" t="s">
        <v>956</v>
      </c>
      <c r="C557" s="248" t="s">
        <v>680</v>
      </c>
      <c r="D557" s="248" t="s">
        <v>512</v>
      </c>
      <c r="E557" s="248">
        <v>1381.0</v>
      </c>
      <c r="F557" s="256">
        <v>45336.0</v>
      </c>
      <c r="G557" s="248">
        <v>2024.0</v>
      </c>
      <c r="H557" s="248" t="s">
        <v>546</v>
      </c>
      <c r="I557" s="248" t="s">
        <v>514</v>
      </c>
      <c r="J557" s="248" t="s">
        <v>309</v>
      </c>
      <c r="K557" s="249" t="s">
        <v>66</v>
      </c>
      <c r="L557" s="257" t="s">
        <v>523</v>
      </c>
      <c r="M557" s="249"/>
      <c r="N557" s="249"/>
      <c r="O557" s="249"/>
      <c r="P557" s="249"/>
      <c r="Q557" s="249"/>
      <c r="R557" s="249"/>
      <c r="S557" s="249"/>
      <c r="T557" s="249"/>
      <c r="U557" s="249"/>
      <c r="V557" s="249"/>
    </row>
    <row r="558">
      <c r="A558" s="255" t="s">
        <v>1298</v>
      </c>
      <c r="B558" s="248" t="s">
        <v>542</v>
      </c>
      <c r="C558" s="248" t="s">
        <v>543</v>
      </c>
      <c r="D558" s="248" t="s">
        <v>512</v>
      </c>
      <c r="E558" s="248">
        <v>3640.0</v>
      </c>
      <c r="F558" s="256">
        <v>45335.0</v>
      </c>
      <c r="G558" s="248">
        <v>2024.0</v>
      </c>
      <c r="H558" s="248" t="s">
        <v>513</v>
      </c>
      <c r="I558" s="248" t="s">
        <v>514</v>
      </c>
      <c r="J558" s="248" t="s">
        <v>297</v>
      </c>
      <c r="K558" s="249" t="s">
        <v>66</v>
      </c>
      <c r="L558" s="257" t="s">
        <v>523</v>
      </c>
      <c r="M558" s="249"/>
      <c r="N558" s="249"/>
      <c r="O558" s="249"/>
      <c r="P558" s="249"/>
      <c r="Q558" s="249"/>
      <c r="R558" s="249"/>
      <c r="S558" s="249"/>
      <c r="T558" s="249"/>
      <c r="U558" s="249"/>
      <c r="V558" s="249"/>
    </row>
    <row r="559">
      <c r="A559" s="255" t="s">
        <v>1299</v>
      </c>
      <c r="B559" s="248" t="s">
        <v>1063</v>
      </c>
      <c r="C559" s="248" t="s">
        <v>759</v>
      </c>
      <c r="D559" s="248" t="s">
        <v>512</v>
      </c>
      <c r="E559" s="248">
        <v>1994.0</v>
      </c>
      <c r="F559" s="256">
        <v>45334.0</v>
      </c>
      <c r="G559" s="248">
        <v>2024.0</v>
      </c>
      <c r="H559" s="248" t="s">
        <v>513</v>
      </c>
      <c r="I559" s="248" t="s">
        <v>1300</v>
      </c>
      <c r="J559" s="248" t="s">
        <v>297</v>
      </c>
      <c r="K559" s="249" t="s">
        <v>66</v>
      </c>
      <c r="L559" s="257" t="s">
        <v>523</v>
      </c>
      <c r="M559" s="249"/>
      <c r="N559" s="249"/>
      <c r="O559" s="249"/>
      <c r="P559" s="249"/>
      <c r="Q559" s="249"/>
      <c r="R559" s="249"/>
      <c r="S559" s="249"/>
      <c r="T559" s="249"/>
      <c r="U559" s="249"/>
      <c r="V559" s="249"/>
    </row>
    <row r="560">
      <c r="A560" s="255" t="s">
        <v>1301</v>
      </c>
      <c r="B560" s="248" t="s">
        <v>590</v>
      </c>
      <c r="C560" s="248" t="s">
        <v>591</v>
      </c>
      <c r="D560" s="248" t="s">
        <v>512</v>
      </c>
      <c r="E560" s="248">
        <v>3318.0</v>
      </c>
      <c r="F560" s="256">
        <v>45334.0</v>
      </c>
      <c r="G560" s="248">
        <v>2024.0</v>
      </c>
      <c r="H560" s="248" t="s">
        <v>513</v>
      </c>
      <c r="I560" s="248" t="s">
        <v>514</v>
      </c>
      <c r="J560" s="248" t="s">
        <v>297</v>
      </c>
      <c r="K560" s="249" t="s">
        <v>66</v>
      </c>
      <c r="L560" s="257" t="s">
        <v>523</v>
      </c>
      <c r="M560" s="249"/>
      <c r="N560" s="249"/>
      <c r="O560" s="249"/>
      <c r="P560" s="249"/>
      <c r="Q560" s="249"/>
      <c r="R560" s="249"/>
      <c r="S560" s="249"/>
      <c r="T560" s="249"/>
      <c r="U560" s="249"/>
      <c r="V560" s="249"/>
    </row>
    <row r="561">
      <c r="A561" s="255" t="s">
        <v>1302</v>
      </c>
      <c r="B561" s="248" t="s">
        <v>564</v>
      </c>
      <c r="C561" s="248" t="s">
        <v>565</v>
      </c>
      <c r="D561" s="248" t="s">
        <v>575</v>
      </c>
      <c r="E561" s="248">
        <v>13079.0</v>
      </c>
      <c r="F561" s="256">
        <v>45334.0</v>
      </c>
      <c r="G561" s="248">
        <v>2024.0</v>
      </c>
      <c r="H561" s="248" t="s">
        <v>513</v>
      </c>
      <c r="I561" s="248" t="s">
        <v>514</v>
      </c>
      <c r="J561" s="248" t="s">
        <v>297</v>
      </c>
      <c r="K561" s="249" t="s">
        <v>66</v>
      </c>
      <c r="L561" s="257" t="s">
        <v>523</v>
      </c>
      <c r="M561" s="249"/>
      <c r="N561" s="249"/>
      <c r="O561" s="249"/>
      <c r="P561" s="249"/>
      <c r="Q561" s="249"/>
      <c r="R561" s="249"/>
      <c r="S561" s="249"/>
      <c r="T561" s="249"/>
      <c r="U561" s="249"/>
      <c r="V561" s="249"/>
    </row>
    <row r="562">
      <c r="A562" s="255" t="s">
        <v>1303</v>
      </c>
      <c r="B562" s="248" t="s">
        <v>573</v>
      </c>
      <c r="C562" s="248" t="s">
        <v>574</v>
      </c>
      <c r="D562" s="248" t="s">
        <v>512</v>
      </c>
      <c r="E562" s="248">
        <v>19000.0</v>
      </c>
      <c r="F562" s="256">
        <v>45334.0</v>
      </c>
      <c r="G562" s="248">
        <v>2024.0</v>
      </c>
      <c r="H562" s="248" t="s">
        <v>513</v>
      </c>
      <c r="I562" s="248" t="s">
        <v>514</v>
      </c>
      <c r="J562" s="248" t="s">
        <v>297</v>
      </c>
      <c r="K562" s="249" t="s">
        <v>66</v>
      </c>
      <c r="L562" s="257" t="s">
        <v>523</v>
      </c>
      <c r="M562" s="249"/>
      <c r="N562" s="249"/>
      <c r="O562" s="249"/>
      <c r="P562" s="249"/>
      <c r="Q562" s="249"/>
      <c r="R562" s="249"/>
      <c r="S562" s="249"/>
      <c r="T562" s="249"/>
      <c r="U562" s="249"/>
      <c r="V562" s="249"/>
    </row>
    <row r="563">
      <c r="A563" s="255" t="s">
        <v>1304</v>
      </c>
      <c r="B563" s="248" t="s">
        <v>705</v>
      </c>
      <c r="C563" s="248" t="s">
        <v>706</v>
      </c>
      <c r="D563" s="248" t="s">
        <v>520</v>
      </c>
      <c r="E563" s="248">
        <v>5562.0</v>
      </c>
      <c r="F563" s="256">
        <v>45330.0</v>
      </c>
      <c r="G563" s="248">
        <v>2024.0</v>
      </c>
      <c r="H563" s="248" t="s">
        <v>513</v>
      </c>
      <c r="I563" s="248" t="s">
        <v>514</v>
      </c>
      <c r="J563" s="248" t="s">
        <v>309</v>
      </c>
      <c r="K563" s="249" t="s">
        <v>66</v>
      </c>
      <c r="L563" s="257" t="s">
        <v>523</v>
      </c>
      <c r="M563" s="249"/>
      <c r="N563" s="249"/>
      <c r="O563" s="249"/>
      <c r="P563" s="249"/>
      <c r="Q563" s="249"/>
      <c r="R563" s="249"/>
      <c r="S563" s="249"/>
      <c r="T563" s="249"/>
      <c r="U563" s="249"/>
      <c r="V563" s="249"/>
    </row>
    <row r="564">
      <c r="A564" s="255" t="s">
        <v>1150</v>
      </c>
      <c r="B564" s="248" t="s">
        <v>815</v>
      </c>
      <c r="C564" s="248" t="s">
        <v>728</v>
      </c>
      <c r="D564" s="248" t="s">
        <v>575</v>
      </c>
      <c r="E564" s="248">
        <v>9078.0</v>
      </c>
      <c r="F564" s="256">
        <v>45330.0</v>
      </c>
      <c r="G564" s="248">
        <v>2024.0</v>
      </c>
      <c r="H564" s="248" t="s">
        <v>546</v>
      </c>
      <c r="I564" s="248" t="s">
        <v>1305</v>
      </c>
      <c r="J564" s="248" t="s">
        <v>297</v>
      </c>
      <c r="K564" s="249" t="s">
        <v>66</v>
      </c>
      <c r="L564" s="257" t="s">
        <v>523</v>
      </c>
      <c r="M564" s="249"/>
      <c r="N564" s="249"/>
      <c r="O564" s="249"/>
      <c r="P564" s="249"/>
      <c r="Q564" s="249"/>
      <c r="R564" s="249"/>
      <c r="S564" s="249"/>
      <c r="T564" s="249"/>
      <c r="U564" s="249"/>
      <c r="V564" s="249"/>
    </row>
    <row r="565">
      <c r="A565" s="255" t="s">
        <v>1306</v>
      </c>
      <c r="B565" s="248" t="s">
        <v>705</v>
      </c>
      <c r="C565" s="248" t="s">
        <v>706</v>
      </c>
      <c r="D565" s="248" t="s">
        <v>512</v>
      </c>
      <c r="E565" s="248">
        <v>50000.0</v>
      </c>
      <c r="F565" s="256">
        <v>45324.0</v>
      </c>
      <c r="G565" s="248">
        <v>2024.0</v>
      </c>
      <c r="H565" s="248" t="s">
        <v>513</v>
      </c>
      <c r="I565" s="248" t="s">
        <v>514</v>
      </c>
      <c r="J565" s="248" t="s">
        <v>297</v>
      </c>
      <c r="K565" s="249" t="s">
        <v>66</v>
      </c>
      <c r="L565" s="257" t="s">
        <v>523</v>
      </c>
      <c r="M565" s="249"/>
      <c r="N565" s="249"/>
      <c r="O565" s="249"/>
      <c r="P565" s="249"/>
      <c r="Q565" s="249"/>
      <c r="R565" s="249"/>
      <c r="S565" s="249"/>
      <c r="T565" s="249"/>
      <c r="U565" s="249"/>
      <c r="V565" s="249"/>
    </row>
    <row r="566">
      <c r="A566" s="255" t="s">
        <v>1307</v>
      </c>
      <c r="B566" s="248" t="s">
        <v>810</v>
      </c>
      <c r="C566" s="248" t="s">
        <v>655</v>
      </c>
      <c r="D566" s="248" t="s">
        <v>512</v>
      </c>
      <c r="E566" s="248">
        <v>1954.0</v>
      </c>
      <c r="F566" s="256">
        <v>45323.0</v>
      </c>
      <c r="G566" s="248">
        <v>2024.0</v>
      </c>
      <c r="H566" s="248" t="s">
        <v>513</v>
      </c>
      <c r="I566" s="248" t="s">
        <v>521</v>
      </c>
      <c r="J566" s="248" t="s">
        <v>297</v>
      </c>
      <c r="K566" s="249" t="s">
        <v>66</v>
      </c>
      <c r="L566" s="257" t="s">
        <v>523</v>
      </c>
      <c r="M566" s="249"/>
      <c r="N566" s="249"/>
      <c r="O566" s="249"/>
      <c r="P566" s="249"/>
      <c r="Q566" s="249"/>
      <c r="R566" s="249"/>
      <c r="S566" s="249"/>
      <c r="T566" s="249"/>
      <c r="U566" s="249"/>
      <c r="V566" s="249"/>
    </row>
    <row r="567">
      <c r="A567" s="255" t="s">
        <v>1308</v>
      </c>
      <c r="B567" s="248" t="s">
        <v>538</v>
      </c>
      <c r="C567" s="248" t="s">
        <v>539</v>
      </c>
      <c r="D567" s="248" t="s">
        <v>575</v>
      </c>
      <c r="E567" s="248">
        <v>65295.0</v>
      </c>
      <c r="F567" s="256">
        <v>45317.0</v>
      </c>
      <c r="G567" s="248">
        <v>2024.0</v>
      </c>
      <c r="H567" s="248" t="s">
        <v>513</v>
      </c>
      <c r="I567" s="248" t="s">
        <v>514</v>
      </c>
      <c r="J567" s="248" t="s">
        <v>297</v>
      </c>
      <c r="K567" s="249" t="s">
        <v>66</v>
      </c>
      <c r="L567" s="257" t="s">
        <v>523</v>
      </c>
      <c r="M567" s="249"/>
      <c r="N567" s="249"/>
      <c r="O567" s="249"/>
      <c r="P567" s="249"/>
      <c r="Q567" s="249"/>
      <c r="R567" s="249"/>
      <c r="S567" s="249"/>
      <c r="T567" s="249"/>
      <c r="U567" s="249"/>
      <c r="V567" s="249"/>
    </row>
    <row r="568">
      <c r="A568" s="255" t="s">
        <v>1309</v>
      </c>
      <c r="B568" s="248" t="s">
        <v>721</v>
      </c>
      <c r="C568" s="248" t="s">
        <v>649</v>
      </c>
      <c r="D568" s="248" t="s">
        <v>512</v>
      </c>
      <c r="E568" s="248">
        <v>2385646.0</v>
      </c>
      <c r="F568" s="256">
        <v>45317.0</v>
      </c>
      <c r="G568" s="248">
        <v>2024.0</v>
      </c>
      <c r="H568" s="248" t="s">
        <v>513</v>
      </c>
      <c r="I568" s="248" t="s">
        <v>514</v>
      </c>
      <c r="J568" s="248" t="s">
        <v>297</v>
      </c>
      <c r="K568" s="249" t="s">
        <v>66</v>
      </c>
      <c r="L568" s="257" t="s">
        <v>523</v>
      </c>
      <c r="M568" s="249"/>
      <c r="N568" s="249"/>
      <c r="O568" s="249"/>
      <c r="P568" s="249"/>
      <c r="Q568" s="249"/>
      <c r="R568" s="249"/>
      <c r="S568" s="249"/>
      <c r="T568" s="249"/>
      <c r="U568" s="249"/>
      <c r="V568" s="249"/>
    </row>
    <row r="569">
      <c r="A569" s="255" t="s">
        <v>1310</v>
      </c>
      <c r="B569" s="248" t="s">
        <v>564</v>
      </c>
      <c r="C569" s="248" t="s">
        <v>565</v>
      </c>
      <c r="D569" s="248" t="s">
        <v>520</v>
      </c>
      <c r="E569" s="248">
        <v>56405.0</v>
      </c>
      <c r="F569" s="256">
        <v>45317.0</v>
      </c>
      <c r="G569" s="248">
        <v>2024.0</v>
      </c>
      <c r="H569" s="248" t="s">
        <v>513</v>
      </c>
      <c r="I569" s="248" t="s">
        <v>514</v>
      </c>
      <c r="J569" s="248" t="s">
        <v>309</v>
      </c>
      <c r="K569" s="249" t="s">
        <v>66</v>
      </c>
      <c r="L569" s="257" t="s">
        <v>523</v>
      </c>
      <c r="M569" s="249"/>
      <c r="N569" s="249"/>
      <c r="O569" s="249"/>
      <c r="P569" s="249"/>
      <c r="Q569" s="249"/>
      <c r="R569" s="249"/>
      <c r="S569" s="249"/>
      <c r="T569" s="249"/>
      <c r="U569" s="249"/>
      <c r="V569" s="249"/>
    </row>
    <row r="570">
      <c r="A570" s="255" t="s">
        <v>1311</v>
      </c>
      <c r="B570" s="248" t="s">
        <v>924</v>
      </c>
      <c r="C570" s="248" t="s">
        <v>725</v>
      </c>
      <c r="D570" s="248" t="s">
        <v>512</v>
      </c>
      <c r="E570" s="248">
        <v>6178.0</v>
      </c>
      <c r="F570" s="256">
        <v>45315.0</v>
      </c>
      <c r="G570" s="248">
        <v>2024.0</v>
      </c>
      <c r="H570" s="248" t="s">
        <v>513</v>
      </c>
      <c r="I570" s="248" t="s">
        <v>514</v>
      </c>
      <c r="J570" s="248" t="s">
        <v>297</v>
      </c>
      <c r="K570" s="249" t="s">
        <v>66</v>
      </c>
      <c r="L570" s="257" t="s">
        <v>523</v>
      </c>
      <c r="M570" s="249"/>
      <c r="N570" s="249"/>
      <c r="O570" s="249"/>
      <c r="P570" s="249"/>
      <c r="Q570" s="249"/>
      <c r="R570" s="249"/>
      <c r="S570" s="249"/>
      <c r="T570" s="249"/>
      <c r="U570" s="249"/>
      <c r="V570" s="249"/>
    </row>
    <row r="571">
      <c r="A571" s="255" t="s">
        <v>1312</v>
      </c>
      <c r="B571" s="248" t="s">
        <v>956</v>
      </c>
      <c r="C571" s="248" t="s">
        <v>680</v>
      </c>
      <c r="D571" s="248" t="s">
        <v>520</v>
      </c>
      <c r="E571" s="248">
        <v>55055.0</v>
      </c>
      <c r="F571" s="256">
        <v>45314.0</v>
      </c>
      <c r="G571" s="248">
        <v>2024.0</v>
      </c>
      <c r="H571" s="248" t="s">
        <v>513</v>
      </c>
      <c r="I571" s="248" t="s">
        <v>514</v>
      </c>
      <c r="J571" s="248" t="s">
        <v>309</v>
      </c>
      <c r="K571" s="249" t="s">
        <v>66</v>
      </c>
      <c r="L571" s="257" t="s">
        <v>523</v>
      </c>
      <c r="M571" s="249"/>
      <c r="N571" s="249"/>
      <c r="O571" s="249"/>
      <c r="P571" s="249"/>
      <c r="Q571" s="249"/>
      <c r="R571" s="249"/>
      <c r="S571" s="249"/>
      <c r="T571" s="249"/>
      <c r="U571" s="249"/>
      <c r="V571" s="249"/>
    </row>
    <row r="572">
      <c r="A572" s="255" t="s">
        <v>1313</v>
      </c>
      <c r="B572" s="248" t="s">
        <v>810</v>
      </c>
      <c r="C572" s="248" t="s">
        <v>655</v>
      </c>
      <c r="D572" s="248" t="s">
        <v>512</v>
      </c>
      <c r="E572" s="248">
        <v>29100.0</v>
      </c>
      <c r="F572" s="256">
        <v>45313.0</v>
      </c>
      <c r="G572" s="248">
        <v>2024.0</v>
      </c>
      <c r="H572" s="248" t="s">
        <v>513</v>
      </c>
      <c r="I572" s="248" t="s">
        <v>514</v>
      </c>
      <c r="J572" s="248" t="s">
        <v>297</v>
      </c>
      <c r="K572" s="249" t="s">
        <v>66</v>
      </c>
      <c r="L572" s="257" t="s">
        <v>523</v>
      </c>
      <c r="M572" s="249"/>
      <c r="N572" s="249"/>
      <c r="O572" s="249"/>
      <c r="P572" s="249"/>
      <c r="Q572" s="249"/>
      <c r="R572" s="249"/>
      <c r="S572" s="249"/>
      <c r="T572" s="249"/>
      <c r="U572" s="249"/>
      <c r="V572" s="249"/>
    </row>
    <row r="573">
      <c r="A573" s="255" t="s">
        <v>1314</v>
      </c>
      <c r="B573" s="248" t="s">
        <v>75</v>
      </c>
      <c r="C573" s="248" t="s">
        <v>675</v>
      </c>
      <c r="D573" s="248" t="s">
        <v>520</v>
      </c>
      <c r="E573" s="248">
        <v>23686.0</v>
      </c>
      <c r="F573" s="256">
        <v>45313.0</v>
      </c>
      <c r="G573" s="248">
        <v>2024.0</v>
      </c>
      <c r="H573" s="248" t="s">
        <v>513</v>
      </c>
      <c r="I573" s="248" t="s">
        <v>514</v>
      </c>
      <c r="J573" s="248" t="s">
        <v>309</v>
      </c>
      <c r="K573" s="249" t="s">
        <v>66</v>
      </c>
      <c r="L573" s="257" t="s">
        <v>523</v>
      </c>
      <c r="M573" s="249"/>
      <c r="N573" s="249"/>
      <c r="O573" s="249"/>
      <c r="P573" s="249"/>
      <c r="Q573" s="249"/>
      <c r="R573" s="249"/>
      <c r="S573" s="249"/>
      <c r="T573" s="249"/>
      <c r="U573" s="249"/>
      <c r="V573" s="249"/>
    </row>
    <row r="574">
      <c r="A574" s="255" t="s">
        <v>1312</v>
      </c>
      <c r="B574" s="248" t="s">
        <v>956</v>
      </c>
      <c r="C574" s="248" t="s">
        <v>680</v>
      </c>
      <c r="D574" s="248" t="s">
        <v>512</v>
      </c>
      <c r="E574" s="248">
        <v>307864.0</v>
      </c>
      <c r="F574" s="256">
        <v>45313.0</v>
      </c>
      <c r="G574" s="248">
        <v>2024.0</v>
      </c>
      <c r="H574" s="248" t="s">
        <v>513</v>
      </c>
      <c r="I574" s="248" t="s">
        <v>514</v>
      </c>
      <c r="J574" s="248" t="s">
        <v>297</v>
      </c>
      <c r="K574" s="249" t="s">
        <v>66</v>
      </c>
      <c r="L574" s="257" t="s">
        <v>523</v>
      </c>
      <c r="M574" s="249"/>
      <c r="N574" s="249"/>
      <c r="O574" s="249"/>
      <c r="P574" s="249"/>
      <c r="Q574" s="249"/>
      <c r="R574" s="249"/>
      <c r="S574" s="249"/>
      <c r="T574" s="249"/>
      <c r="U574" s="249"/>
      <c r="V574" s="249"/>
    </row>
    <row r="575">
      <c r="A575" s="255" t="s">
        <v>1315</v>
      </c>
      <c r="B575" s="248" t="s">
        <v>886</v>
      </c>
      <c r="C575" s="248" t="s">
        <v>636</v>
      </c>
      <c r="D575" s="248" t="s">
        <v>575</v>
      </c>
      <c r="E575" s="248">
        <v>3567.0</v>
      </c>
      <c r="F575" s="256">
        <v>45311.0</v>
      </c>
      <c r="G575" s="248">
        <v>2024.0</v>
      </c>
      <c r="H575" s="248" t="s">
        <v>513</v>
      </c>
      <c r="I575" s="248" t="s">
        <v>521</v>
      </c>
      <c r="J575" s="248" t="s">
        <v>297</v>
      </c>
      <c r="K575" s="249" t="s">
        <v>66</v>
      </c>
      <c r="L575" s="257" t="s">
        <v>523</v>
      </c>
      <c r="M575" s="249"/>
      <c r="N575" s="249"/>
      <c r="O575" s="249"/>
      <c r="P575" s="249"/>
      <c r="Q575" s="249"/>
      <c r="R575" s="249"/>
      <c r="S575" s="249"/>
      <c r="T575" s="249"/>
      <c r="U575" s="249"/>
      <c r="V575" s="249"/>
    </row>
    <row r="576">
      <c r="A576" s="255" t="s">
        <v>1316</v>
      </c>
      <c r="B576" s="248" t="s">
        <v>530</v>
      </c>
      <c r="C576" s="248" t="s">
        <v>531</v>
      </c>
      <c r="D576" s="248" t="s">
        <v>512</v>
      </c>
      <c r="E576" s="248">
        <v>4231.0</v>
      </c>
      <c r="F576" s="256">
        <v>45309.0</v>
      </c>
      <c r="G576" s="248">
        <v>2024.0</v>
      </c>
      <c r="H576" s="248" t="s">
        <v>513</v>
      </c>
      <c r="I576" s="248" t="s">
        <v>514</v>
      </c>
      <c r="J576" s="248" t="s">
        <v>297</v>
      </c>
      <c r="K576" s="249" t="s">
        <v>66</v>
      </c>
      <c r="L576" s="257" t="s">
        <v>523</v>
      </c>
      <c r="M576" s="249"/>
      <c r="N576" s="249"/>
      <c r="O576" s="249"/>
      <c r="P576" s="249"/>
      <c r="Q576" s="249"/>
      <c r="R576" s="249"/>
      <c r="S576" s="249"/>
      <c r="T576" s="249"/>
      <c r="U576" s="249"/>
      <c r="V576" s="249"/>
    </row>
    <row r="577">
      <c r="A577" s="255" t="s">
        <v>1317</v>
      </c>
      <c r="B577" s="248" t="s">
        <v>924</v>
      </c>
      <c r="C577" s="248" t="s">
        <v>725</v>
      </c>
      <c r="D577" s="248" t="s">
        <v>520</v>
      </c>
      <c r="E577" s="248">
        <v>11556.0</v>
      </c>
      <c r="F577" s="256">
        <v>45308.0</v>
      </c>
      <c r="G577" s="248">
        <v>2024.0</v>
      </c>
      <c r="H577" s="248" t="s">
        <v>513</v>
      </c>
      <c r="I577" s="248" t="s">
        <v>514</v>
      </c>
      <c r="J577" s="248" t="s">
        <v>309</v>
      </c>
      <c r="K577" s="249" t="s">
        <v>66</v>
      </c>
      <c r="L577" s="257" t="s">
        <v>523</v>
      </c>
      <c r="M577" s="249"/>
      <c r="N577" s="249"/>
      <c r="O577" s="249"/>
      <c r="P577" s="249"/>
      <c r="Q577" s="249"/>
      <c r="R577" s="249"/>
      <c r="S577" s="249"/>
      <c r="T577" s="249"/>
      <c r="U577" s="249"/>
      <c r="V577" s="249"/>
    </row>
    <row r="578">
      <c r="A578" s="255" t="s">
        <v>1318</v>
      </c>
      <c r="B578" s="248" t="s">
        <v>611</v>
      </c>
      <c r="C578" s="248" t="s">
        <v>612</v>
      </c>
      <c r="D578" s="248" t="s">
        <v>512</v>
      </c>
      <c r="E578" s="248">
        <v>1063.0</v>
      </c>
      <c r="F578" s="256">
        <v>45308.0</v>
      </c>
      <c r="G578" s="248">
        <v>2024.0</v>
      </c>
      <c r="H578" s="248" t="s">
        <v>546</v>
      </c>
      <c r="I578" s="248" t="s">
        <v>618</v>
      </c>
      <c r="J578" s="248" t="s">
        <v>297</v>
      </c>
      <c r="K578" s="249" t="s">
        <v>66</v>
      </c>
      <c r="L578" s="257" t="s">
        <v>523</v>
      </c>
      <c r="M578" s="249"/>
      <c r="N578" s="249"/>
      <c r="O578" s="249"/>
      <c r="P578" s="249"/>
      <c r="Q578" s="249"/>
      <c r="R578" s="249"/>
      <c r="S578" s="249"/>
      <c r="T578" s="249"/>
      <c r="U578" s="249"/>
      <c r="V578" s="249"/>
    </row>
    <row r="579">
      <c r="A579" s="255" t="s">
        <v>1319</v>
      </c>
      <c r="B579" s="248" t="s">
        <v>956</v>
      </c>
      <c r="C579" s="248" t="s">
        <v>680</v>
      </c>
      <c r="D579" s="248" t="s">
        <v>512</v>
      </c>
      <c r="E579" s="248">
        <v>151499.0</v>
      </c>
      <c r="F579" s="256">
        <v>45306.0</v>
      </c>
      <c r="G579" s="248">
        <v>2024.0</v>
      </c>
      <c r="H579" s="248" t="s">
        <v>513</v>
      </c>
      <c r="I579" s="248" t="s">
        <v>514</v>
      </c>
      <c r="J579" s="248" t="s">
        <v>297</v>
      </c>
      <c r="K579" s="249" t="s">
        <v>66</v>
      </c>
      <c r="L579" s="257" t="s">
        <v>523</v>
      </c>
      <c r="M579" s="249"/>
      <c r="N579" s="249"/>
      <c r="O579" s="249"/>
      <c r="P579" s="249"/>
      <c r="Q579" s="249"/>
      <c r="R579" s="249"/>
      <c r="S579" s="249"/>
      <c r="T579" s="249"/>
      <c r="U579" s="249"/>
      <c r="V579" s="249"/>
    </row>
    <row r="580">
      <c r="A580" s="255" t="s">
        <v>1320</v>
      </c>
      <c r="B580" s="248" t="s">
        <v>1039</v>
      </c>
      <c r="C580" s="248" t="s">
        <v>686</v>
      </c>
      <c r="D580" s="248" t="s">
        <v>520</v>
      </c>
      <c r="E580" s="248">
        <v>170052.0</v>
      </c>
      <c r="F580" s="256">
        <v>45304.0</v>
      </c>
      <c r="G580" s="248">
        <v>2024.0</v>
      </c>
      <c r="H580" s="248" t="s">
        <v>513</v>
      </c>
      <c r="I580" s="248" t="s">
        <v>514</v>
      </c>
      <c r="J580" s="248" t="s">
        <v>309</v>
      </c>
      <c r="K580" s="249" t="s">
        <v>66</v>
      </c>
      <c r="L580" s="257" t="s">
        <v>523</v>
      </c>
      <c r="M580" s="249"/>
      <c r="N580" s="249"/>
      <c r="O580" s="249"/>
      <c r="P580" s="249"/>
      <c r="Q580" s="249"/>
      <c r="R580" s="249"/>
      <c r="S580" s="249"/>
      <c r="T580" s="249"/>
      <c r="U580" s="249"/>
      <c r="V580" s="249"/>
    </row>
    <row r="581">
      <c r="A581" s="255" t="s">
        <v>1321</v>
      </c>
      <c r="B581" s="248" t="s">
        <v>688</v>
      </c>
      <c r="C581" s="248" t="s">
        <v>683</v>
      </c>
      <c r="D581" s="248" t="s">
        <v>520</v>
      </c>
      <c r="E581" s="248">
        <v>348000.0</v>
      </c>
      <c r="F581" s="256">
        <v>45304.0</v>
      </c>
      <c r="G581" s="248">
        <v>2024.0</v>
      </c>
      <c r="H581" s="248" t="s">
        <v>513</v>
      </c>
      <c r="I581" s="248" t="s">
        <v>514</v>
      </c>
      <c r="J581" s="248" t="s">
        <v>309</v>
      </c>
      <c r="K581" s="249" t="s">
        <v>66</v>
      </c>
      <c r="L581" s="257" t="s">
        <v>523</v>
      </c>
      <c r="M581" s="249"/>
      <c r="N581" s="249"/>
      <c r="O581" s="249"/>
      <c r="P581" s="249"/>
      <c r="Q581" s="249"/>
      <c r="R581" s="249"/>
      <c r="S581" s="249"/>
      <c r="T581" s="249"/>
      <c r="U581" s="249"/>
      <c r="V581" s="249"/>
    </row>
    <row r="582">
      <c r="A582" s="255" t="s">
        <v>1322</v>
      </c>
      <c r="B582" s="248" t="s">
        <v>850</v>
      </c>
      <c r="C582" s="248" t="s">
        <v>723</v>
      </c>
      <c r="D582" s="248" t="s">
        <v>512</v>
      </c>
      <c r="E582" s="248">
        <v>6457.0</v>
      </c>
      <c r="F582" s="256">
        <v>45302.0</v>
      </c>
      <c r="G582" s="248">
        <v>2024.0</v>
      </c>
      <c r="H582" s="248" t="s">
        <v>513</v>
      </c>
      <c r="I582" s="248" t="s">
        <v>514</v>
      </c>
      <c r="J582" s="248" t="s">
        <v>309</v>
      </c>
      <c r="K582" s="249" t="s">
        <v>66</v>
      </c>
      <c r="L582" s="257" t="s">
        <v>523</v>
      </c>
      <c r="M582" s="249"/>
      <c r="N582" s="249"/>
      <c r="O582" s="249"/>
      <c r="P582" s="249"/>
      <c r="Q582" s="249"/>
      <c r="R582" s="249"/>
      <c r="S582" s="249"/>
      <c r="T582" s="249"/>
      <c r="U582" s="249"/>
      <c r="V582" s="249"/>
    </row>
    <row r="583">
      <c r="A583" s="255" t="s">
        <v>1323</v>
      </c>
      <c r="B583" s="248" t="s">
        <v>845</v>
      </c>
      <c r="C583" s="248" t="s">
        <v>733</v>
      </c>
      <c r="D583" s="248" t="s">
        <v>512</v>
      </c>
      <c r="E583" s="248">
        <v>44312.0</v>
      </c>
      <c r="F583" s="256">
        <v>45302.0</v>
      </c>
      <c r="G583" s="248">
        <v>2024.0</v>
      </c>
      <c r="H583" s="248" t="s">
        <v>513</v>
      </c>
      <c r="I583" s="248" t="s">
        <v>514</v>
      </c>
      <c r="J583" s="248" t="s">
        <v>297</v>
      </c>
      <c r="K583" s="249" t="s">
        <v>66</v>
      </c>
      <c r="L583" s="257" t="s">
        <v>523</v>
      </c>
      <c r="M583" s="249"/>
      <c r="N583" s="249"/>
      <c r="O583" s="249"/>
      <c r="P583" s="249"/>
      <c r="Q583" s="249"/>
      <c r="R583" s="249"/>
      <c r="S583" s="249"/>
      <c r="T583" s="249"/>
      <c r="U583" s="249"/>
      <c r="V583" s="249"/>
    </row>
    <row r="584">
      <c r="A584" s="255" t="s">
        <v>1324</v>
      </c>
      <c r="B584" s="248" t="s">
        <v>530</v>
      </c>
      <c r="C584" s="248" t="s">
        <v>531</v>
      </c>
      <c r="D584" s="248" t="s">
        <v>512</v>
      </c>
      <c r="E584" s="248">
        <v>12143.0</v>
      </c>
      <c r="F584" s="256">
        <v>45300.0</v>
      </c>
      <c r="G584" s="248">
        <v>2024.0</v>
      </c>
      <c r="H584" s="248" t="s">
        <v>513</v>
      </c>
      <c r="I584" s="248" t="s">
        <v>514</v>
      </c>
      <c r="J584" s="248" t="s">
        <v>297</v>
      </c>
      <c r="K584" s="249" t="s">
        <v>66</v>
      </c>
      <c r="L584" s="257" t="s">
        <v>523</v>
      </c>
      <c r="M584" s="249"/>
      <c r="N584" s="249"/>
      <c r="O584" s="249"/>
      <c r="P584" s="249"/>
      <c r="Q584" s="249"/>
      <c r="R584" s="249"/>
      <c r="S584" s="249"/>
      <c r="T584" s="249"/>
      <c r="U584" s="249"/>
      <c r="V584" s="249"/>
    </row>
    <row r="585">
      <c r="A585" s="255" t="s">
        <v>1325</v>
      </c>
      <c r="B585" s="248" t="s">
        <v>679</v>
      </c>
      <c r="C585" s="248" t="s">
        <v>663</v>
      </c>
      <c r="D585" s="248" t="s">
        <v>512</v>
      </c>
      <c r="E585" s="248">
        <v>3998163.0</v>
      </c>
      <c r="F585" s="256">
        <v>45300.0</v>
      </c>
      <c r="G585" s="248">
        <v>2024.0</v>
      </c>
      <c r="H585" s="248" t="s">
        <v>513</v>
      </c>
      <c r="I585" s="248" t="s">
        <v>514</v>
      </c>
      <c r="J585" s="248" t="s">
        <v>309</v>
      </c>
      <c r="K585" s="249" t="s">
        <v>66</v>
      </c>
      <c r="L585" s="257" t="s">
        <v>523</v>
      </c>
      <c r="M585" s="249"/>
      <c r="N585" s="249"/>
      <c r="O585" s="249"/>
      <c r="P585" s="249"/>
      <c r="Q585" s="249"/>
      <c r="R585" s="249"/>
      <c r="S585" s="249"/>
      <c r="T585" s="249"/>
      <c r="U585" s="249"/>
      <c r="V585" s="249"/>
    </row>
    <row r="586">
      <c r="A586" s="255" t="s">
        <v>1326</v>
      </c>
      <c r="B586" s="248" t="s">
        <v>679</v>
      </c>
      <c r="C586" s="248" t="s">
        <v>663</v>
      </c>
      <c r="D586" s="248" t="s">
        <v>512</v>
      </c>
      <c r="E586" s="248">
        <v>75349.0</v>
      </c>
      <c r="F586" s="256">
        <v>45299.0</v>
      </c>
      <c r="G586" s="248">
        <v>2024.0</v>
      </c>
      <c r="H586" s="248" t="s">
        <v>513</v>
      </c>
      <c r="I586" s="248" t="s">
        <v>514</v>
      </c>
      <c r="J586" s="248" t="s">
        <v>297</v>
      </c>
      <c r="K586" s="249" t="s">
        <v>66</v>
      </c>
      <c r="L586" s="257" t="s">
        <v>523</v>
      </c>
      <c r="M586" s="249"/>
      <c r="N586" s="249"/>
      <c r="O586" s="249"/>
      <c r="P586" s="249"/>
      <c r="Q586" s="249"/>
      <c r="R586" s="249"/>
      <c r="S586" s="249"/>
      <c r="T586" s="249"/>
      <c r="U586" s="249"/>
      <c r="V586" s="249"/>
    </row>
    <row r="587">
      <c r="A587" s="255" t="s">
        <v>1327</v>
      </c>
      <c r="B587" s="248" t="s">
        <v>542</v>
      </c>
      <c r="C587" s="248" t="s">
        <v>543</v>
      </c>
      <c r="D587" s="248" t="s">
        <v>512</v>
      </c>
      <c r="E587" s="248">
        <v>1107.0</v>
      </c>
      <c r="F587" s="256">
        <v>45296.0</v>
      </c>
      <c r="G587" s="248">
        <v>2024.0</v>
      </c>
      <c r="H587" s="248" t="s">
        <v>556</v>
      </c>
      <c r="I587" s="248" t="s">
        <v>707</v>
      </c>
      <c r="J587" s="248" t="s">
        <v>297</v>
      </c>
      <c r="K587" s="249" t="s">
        <v>66</v>
      </c>
      <c r="L587" s="257" t="s">
        <v>523</v>
      </c>
      <c r="M587" s="249"/>
      <c r="N587" s="249"/>
      <c r="O587" s="249"/>
      <c r="P587" s="249"/>
      <c r="Q587" s="249"/>
      <c r="R587" s="249"/>
      <c r="S587" s="249"/>
      <c r="T587" s="249"/>
      <c r="U587" s="249"/>
      <c r="V587" s="249"/>
    </row>
    <row r="588">
      <c r="A588" s="255" t="s">
        <v>1328</v>
      </c>
      <c r="B588" s="248" t="s">
        <v>679</v>
      </c>
      <c r="C588" s="248" t="s">
        <v>663</v>
      </c>
      <c r="D588" s="248" t="s">
        <v>512</v>
      </c>
      <c r="E588" s="248">
        <v>124341.0</v>
      </c>
      <c r="F588" s="256">
        <v>45296.0</v>
      </c>
      <c r="G588" s="248">
        <v>2024.0</v>
      </c>
      <c r="H588" s="248" t="s">
        <v>513</v>
      </c>
      <c r="I588" s="248" t="s">
        <v>514</v>
      </c>
      <c r="J588" s="248" t="s">
        <v>297</v>
      </c>
      <c r="K588" s="249" t="s">
        <v>66</v>
      </c>
      <c r="L588" s="257" t="s">
        <v>523</v>
      </c>
      <c r="M588" s="249"/>
      <c r="N588" s="249"/>
      <c r="O588" s="249"/>
      <c r="P588" s="249"/>
      <c r="Q588" s="249"/>
      <c r="R588" s="249"/>
      <c r="S588" s="249"/>
      <c r="T588" s="249"/>
      <c r="U588" s="249"/>
      <c r="V588" s="249"/>
    </row>
    <row r="589">
      <c r="A589" s="255" t="s">
        <v>1329</v>
      </c>
      <c r="B589" s="248" t="s">
        <v>824</v>
      </c>
      <c r="C589" s="248" t="s">
        <v>743</v>
      </c>
      <c r="D589" s="248" t="s">
        <v>575</v>
      </c>
      <c r="E589" s="248">
        <v>11535.0</v>
      </c>
      <c r="F589" s="256">
        <v>45296.0</v>
      </c>
      <c r="G589" s="248">
        <v>2024.0</v>
      </c>
      <c r="H589" s="248" t="s">
        <v>513</v>
      </c>
      <c r="I589" s="248" t="s">
        <v>514</v>
      </c>
      <c r="J589" s="248" t="s">
        <v>297</v>
      </c>
      <c r="K589" s="249" t="s">
        <v>66</v>
      </c>
      <c r="L589" s="257" t="s">
        <v>523</v>
      </c>
      <c r="M589" s="249"/>
      <c r="N589" s="249"/>
      <c r="O589" s="249"/>
      <c r="P589" s="249"/>
      <c r="Q589" s="249"/>
      <c r="R589" s="249"/>
      <c r="S589" s="249"/>
      <c r="T589" s="249"/>
      <c r="U589" s="249"/>
      <c r="V589" s="249"/>
    </row>
    <row r="590">
      <c r="A590" s="255" t="s">
        <v>1330</v>
      </c>
      <c r="B590" s="248" t="s">
        <v>668</v>
      </c>
      <c r="C590" s="248" t="s">
        <v>669</v>
      </c>
      <c r="D590" s="248" t="s">
        <v>520</v>
      </c>
      <c r="E590" s="248">
        <v>60871.0</v>
      </c>
      <c r="F590" s="256">
        <v>45295.0</v>
      </c>
      <c r="G590" s="248">
        <v>2024.0</v>
      </c>
      <c r="H590" s="248" t="s">
        <v>513</v>
      </c>
      <c r="I590" s="248" t="s">
        <v>514</v>
      </c>
      <c r="J590" s="248" t="s">
        <v>309</v>
      </c>
      <c r="K590" s="249" t="s">
        <v>66</v>
      </c>
      <c r="L590" s="257" t="s">
        <v>523</v>
      </c>
      <c r="M590" s="249"/>
      <c r="N590" s="249"/>
      <c r="O590" s="249"/>
      <c r="P590" s="249"/>
      <c r="Q590" s="249"/>
      <c r="R590" s="249"/>
      <c r="S590" s="249"/>
      <c r="T590" s="249"/>
      <c r="U590" s="249"/>
      <c r="V590" s="249"/>
    </row>
    <row r="591">
      <c r="A591" s="255" t="s">
        <v>1331</v>
      </c>
      <c r="B591" s="248" t="s">
        <v>538</v>
      </c>
      <c r="C591" s="248" t="s">
        <v>539</v>
      </c>
      <c r="D591" s="248" t="s">
        <v>520</v>
      </c>
      <c r="E591" s="248">
        <v>1023.0</v>
      </c>
      <c r="F591" s="256">
        <v>45294.0</v>
      </c>
      <c r="G591" s="248">
        <v>2024.0</v>
      </c>
      <c r="H591" s="248" t="s">
        <v>546</v>
      </c>
      <c r="I591" s="248" t="s">
        <v>514</v>
      </c>
      <c r="J591" s="248" t="s">
        <v>309</v>
      </c>
      <c r="K591" s="249" t="s">
        <v>66</v>
      </c>
      <c r="L591" s="257" t="s">
        <v>523</v>
      </c>
      <c r="M591" s="249"/>
      <c r="N591" s="249"/>
      <c r="O591" s="249"/>
      <c r="P591" s="249"/>
      <c r="Q591" s="249"/>
      <c r="R591" s="249"/>
      <c r="S591" s="249"/>
      <c r="T591" s="249"/>
      <c r="U591" s="249"/>
      <c r="V591" s="249"/>
    </row>
    <row r="592">
      <c r="A592" s="255" t="s">
        <v>1332</v>
      </c>
      <c r="B592" s="248" t="s">
        <v>878</v>
      </c>
      <c r="C592" s="248" t="s">
        <v>643</v>
      </c>
      <c r="D592" s="248" t="s">
        <v>512</v>
      </c>
      <c r="E592" s="248">
        <v>10566.0</v>
      </c>
      <c r="F592" s="256">
        <v>45293.0</v>
      </c>
      <c r="G592" s="248">
        <v>2024.0</v>
      </c>
      <c r="H592" s="248" t="s">
        <v>513</v>
      </c>
      <c r="I592" s="248" t="s">
        <v>514</v>
      </c>
      <c r="J592" s="248" t="s">
        <v>297</v>
      </c>
      <c r="K592" s="249" t="s">
        <v>66</v>
      </c>
      <c r="L592" s="257" t="s">
        <v>523</v>
      </c>
      <c r="M592" s="249"/>
      <c r="N592" s="249"/>
      <c r="O592" s="249"/>
      <c r="P592" s="249"/>
      <c r="Q592" s="249"/>
      <c r="R592" s="249"/>
      <c r="S592" s="249"/>
      <c r="T592" s="249"/>
      <c r="U592" s="249"/>
      <c r="V592" s="249"/>
    </row>
    <row r="593">
      <c r="A593" s="255" t="s">
        <v>1333</v>
      </c>
      <c r="B593" s="248" t="s">
        <v>607</v>
      </c>
      <c r="C593" s="248" t="s">
        <v>608</v>
      </c>
      <c r="D593" s="248" t="s">
        <v>512</v>
      </c>
      <c r="E593" s="248">
        <v>5809.0</v>
      </c>
      <c r="F593" s="256">
        <v>45293.0</v>
      </c>
      <c r="G593" s="248">
        <v>2024.0</v>
      </c>
      <c r="H593" s="248" t="s">
        <v>513</v>
      </c>
      <c r="I593" s="248" t="s">
        <v>514</v>
      </c>
      <c r="J593" s="248" t="s">
        <v>297</v>
      </c>
      <c r="K593" s="249" t="s">
        <v>66</v>
      </c>
      <c r="L593" s="257" t="s">
        <v>523</v>
      </c>
      <c r="M593" s="249"/>
      <c r="N593" s="249"/>
      <c r="O593" s="249"/>
      <c r="P593" s="249"/>
      <c r="Q593" s="249"/>
      <c r="R593" s="249"/>
      <c r="S593" s="249"/>
      <c r="T593" s="249"/>
      <c r="U593" s="249"/>
      <c r="V593" s="249"/>
    </row>
    <row r="594">
      <c r="A594" s="255" t="s">
        <v>1334</v>
      </c>
      <c r="B594" s="248" t="s">
        <v>590</v>
      </c>
      <c r="C594" s="248" t="s">
        <v>591</v>
      </c>
      <c r="D594" s="248" t="s">
        <v>512</v>
      </c>
      <c r="E594" s="248">
        <v>911757.0</v>
      </c>
      <c r="F594" s="256">
        <v>45291.0</v>
      </c>
      <c r="G594" s="248">
        <v>2023.0</v>
      </c>
      <c r="H594" s="248" t="s">
        <v>513</v>
      </c>
      <c r="I594" s="248" t="s">
        <v>928</v>
      </c>
      <c r="J594" s="248" t="s">
        <v>297</v>
      </c>
      <c r="K594" s="249" t="s">
        <v>1335</v>
      </c>
      <c r="L594" s="257" t="s">
        <v>516</v>
      </c>
      <c r="M594" s="249"/>
      <c r="N594" s="249"/>
      <c r="O594" s="249"/>
      <c r="P594" s="249"/>
      <c r="Q594" s="249"/>
      <c r="R594" s="249"/>
      <c r="S594" s="249"/>
      <c r="T594" s="249"/>
      <c r="U594" s="249"/>
      <c r="V594" s="249"/>
    </row>
    <row r="595">
      <c r="A595" s="255" t="s">
        <v>1336</v>
      </c>
      <c r="B595" s="248" t="s">
        <v>679</v>
      </c>
      <c r="C595" s="248" t="s">
        <v>663</v>
      </c>
      <c r="D595" s="248" t="s">
        <v>512</v>
      </c>
      <c r="E595" s="248">
        <v>80000.0</v>
      </c>
      <c r="F595" s="256">
        <v>45289.0</v>
      </c>
      <c r="G595" s="248">
        <v>2023.0</v>
      </c>
      <c r="H595" s="248" t="s">
        <v>513</v>
      </c>
      <c r="I595" s="248" t="s">
        <v>514</v>
      </c>
      <c r="J595" s="248" t="s">
        <v>297</v>
      </c>
      <c r="K595" s="249" t="s">
        <v>1337</v>
      </c>
      <c r="L595" s="257" t="s">
        <v>516</v>
      </c>
      <c r="M595" s="249"/>
      <c r="N595" s="249"/>
      <c r="O595" s="249"/>
      <c r="P595" s="249"/>
      <c r="Q595" s="249"/>
      <c r="R595" s="249"/>
      <c r="S595" s="249"/>
      <c r="T595" s="249"/>
      <c r="U595" s="249"/>
      <c r="V595" s="249"/>
    </row>
    <row r="596">
      <c r="A596" s="255" t="s">
        <v>1338</v>
      </c>
      <c r="B596" s="248" t="s">
        <v>530</v>
      </c>
      <c r="C596" s="248" t="s">
        <v>531</v>
      </c>
      <c r="D596" s="248" t="s">
        <v>645</v>
      </c>
      <c r="E596" s="248">
        <v>2574.0</v>
      </c>
      <c r="F596" s="256">
        <v>45289.0</v>
      </c>
      <c r="G596" s="248">
        <v>2023.0</v>
      </c>
      <c r="H596" s="248" t="s">
        <v>513</v>
      </c>
      <c r="I596" s="248" t="s">
        <v>514</v>
      </c>
      <c r="J596" s="248" t="s">
        <v>297</v>
      </c>
      <c r="K596" s="249" t="s">
        <v>1339</v>
      </c>
      <c r="L596" s="257" t="s">
        <v>516</v>
      </c>
      <c r="M596" s="249"/>
      <c r="N596" s="249"/>
      <c r="O596" s="249"/>
      <c r="P596" s="249"/>
      <c r="Q596" s="249"/>
      <c r="R596" s="249"/>
      <c r="S596" s="249"/>
      <c r="T596" s="249"/>
      <c r="U596" s="249"/>
      <c r="V596" s="249"/>
    </row>
    <row r="597">
      <c r="A597" s="255" t="s">
        <v>1340</v>
      </c>
      <c r="B597" s="248" t="s">
        <v>525</v>
      </c>
      <c r="C597" s="248" t="s">
        <v>526</v>
      </c>
      <c r="D597" s="248" t="s">
        <v>512</v>
      </c>
      <c r="E597" s="248">
        <v>20192.0</v>
      </c>
      <c r="F597" s="256">
        <v>45286.0</v>
      </c>
      <c r="G597" s="248">
        <v>2023.0</v>
      </c>
      <c r="H597" s="248" t="s">
        <v>556</v>
      </c>
      <c r="I597" s="248" t="s">
        <v>620</v>
      </c>
      <c r="J597" s="248" t="s">
        <v>297</v>
      </c>
      <c r="K597" s="249" t="s">
        <v>1341</v>
      </c>
      <c r="L597" s="257" t="s">
        <v>516</v>
      </c>
      <c r="M597" s="249"/>
      <c r="N597" s="249"/>
      <c r="O597" s="249"/>
      <c r="P597" s="249"/>
      <c r="Q597" s="249"/>
      <c r="R597" s="249"/>
      <c r="S597" s="249"/>
      <c r="T597" s="249"/>
      <c r="U597" s="249"/>
      <c r="V597" s="249"/>
    </row>
    <row r="598">
      <c r="A598" s="255" t="s">
        <v>1342</v>
      </c>
      <c r="B598" s="248" t="s">
        <v>542</v>
      </c>
      <c r="C598" s="248" t="s">
        <v>543</v>
      </c>
      <c r="D598" s="248" t="s">
        <v>512</v>
      </c>
      <c r="E598" s="248">
        <v>31189.0</v>
      </c>
      <c r="F598" s="256">
        <v>45282.0</v>
      </c>
      <c r="G598" s="248">
        <v>2023.0</v>
      </c>
      <c r="H598" s="248" t="s">
        <v>513</v>
      </c>
      <c r="I598" s="248" t="s">
        <v>514</v>
      </c>
      <c r="J598" s="248" t="s">
        <v>297</v>
      </c>
      <c r="K598" s="249" t="s">
        <v>1343</v>
      </c>
      <c r="L598" s="257" t="s">
        <v>516</v>
      </c>
      <c r="M598" s="249"/>
      <c r="N598" s="249"/>
      <c r="O598" s="249"/>
      <c r="P598" s="249"/>
      <c r="Q598" s="249"/>
      <c r="R598" s="249"/>
      <c r="S598" s="249"/>
      <c r="T598" s="249"/>
      <c r="U598" s="249"/>
      <c r="V598" s="249"/>
    </row>
    <row r="599">
      <c r="A599" s="255" t="s">
        <v>1344</v>
      </c>
      <c r="B599" s="248" t="s">
        <v>553</v>
      </c>
      <c r="C599" s="248" t="s">
        <v>554</v>
      </c>
      <c r="D599" s="248" t="s">
        <v>512</v>
      </c>
      <c r="E599" s="248">
        <v>55297.0</v>
      </c>
      <c r="F599" s="256">
        <v>45282.0</v>
      </c>
      <c r="G599" s="248">
        <v>2023.0</v>
      </c>
      <c r="H599" s="248" t="s">
        <v>513</v>
      </c>
      <c r="I599" s="248" t="s">
        <v>514</v>
      </c>
      <c r="J599" s="248" t="s">
        <v>297</v>
      </c>
      <c r="K599" s="249" t="s">
        <v>1345</v>
      </c>
      <c r="L599" s="257" t="s">
        <v>516</v>
      </c>
      <c r="M599" s="249"/>
      <c r="N599" s="249"/>
      <c r="O599" s="249"/>
      <c r="P599" s="249"/>
      <c r="Q599" s="249"/>
      <c r="R599" s="249"/>
      <c r="S599" s="249"/>
      <c r="T599" s="249"/>
      <c r="U599" s="249"/>
      <c r="V599" s="249"/>
    </row>
    <row r="600">
      <c r="A600" s="255" t="s">
        <v>631</v>
      </c>
      <c r="B600" s="248" t="s">
        <v>530</v>
      </c>
      <c r="C600" s="248" t="s">
        <v>531</v>
      </c>
      <c r="D600" s="248" t="s">
        <v>512</v>
      </c>
      <c r="E600" s="248">
        <v>1284.0</v>
      </c>
      <c r="F600" s="256">
        <v>45282.0</v>
      </c>
      <c r="G600" s="248">
        <v>2023.0</v>
      </c>
      <c r="H600" s="248" t="s">
        <v>513</v>
      </c>
      <c r="I600" s="248" t="s">
        <v>514</v>
      </c>
      <c r="J600" s="248" t="s">
        <v>297</v>
      </c>
      <c r="K600" s="249" t="s">
        <v>1346</v>
      </c>
      <c r="L600" s="257" t="s">
        <v>516</v>
      </c>
      <c r="M600" s="249"/>
      <c r="N600" s="249"/>
      <c r="O600" s="249"/>
      <c r="P600" s="249"/>
      <c r="Q600" s="249"/>
      <c r="R600" s="249"/>
      <c r="S600" s="249"/>
      <c r="T600" s="249"/>
      <c r="U600" s="249"/>
      <c r="V600" s="249"/>
    </row>
    <row r="601">
      <c r="A601" s="255" t="s">
        <v>1347</v>
      </c>
      <c r="B601" s="248" t="s">
        <v>573</v>
      </c>
      <c r="C601" s="248" t="s">
        <v>574</v>
      </c>
      <c r="D601" s="248" t="s">
        <v>512</v>
      </c>
      <c r="E601" s="248">
        <v>3000.0</v>
      </c>
      <c r="F601" s="256">
        <v>45282.0</v>
      </c>
      <c r="G601" s="248">
        <v>2023.0</v>
      </c>
      <c r="H601" s="248" t="s">
        <v>546</v>
      </c>
      <c r="I601" s="248" t="s">
        <v>1348</v>
      </c>
      <c r="J601" s="248" t="s">
        <v>297</v>
      </c>
      <c r="K601" s="249" t="s">
        <v>1349</v>
      </c>
      <c r="L601" s="257" t="s">
        <v>516</v>
      </c>
      <c r="M601" s="249"/>
      <c r="N601" s="249"/>
      <c r="O601" s="249"/>
      <c r="P601" s="249"/>
      <c r="Q601" s="249"/>
      <c r="R601" s="249"/>
      <c r="S601" s="249"/>
      <c r="T601" s="249"/>
      <c r="U601" s="249"/>
      <c r="V601" s="249"/>
    </row>
    <row r="602">
      <c r="A602" s="255" t="s">
        <v>1350</v>
      </c>
      <c r="B602" s="248" t="s">
        <v>75</v>
      </c>
      <c r="C602" s="248" t="s">
        <v>675</v>
      </c>
      <c r="D602" s="248" t="s">
        <v>520</v>
      </c>
      <c r="E602" s="248">
        <v>1053.0</v>
      </c>
      <c r="F602" s="256">
        <v>45282.0</v>
      </c>
      <c r="G602" s="248">
        <v>2023.0</v>
      </c>
      <c r="H602" s="248" t="s">
        <v>546</v>
      </c>
      <c r="I602" s="248" t="s">
        <v>514</v>
      </c>
      <c r="J602" s="248" t="s">
        <v>309</v>
      </c>
      <c r="K602" s="249" t="s">
        <v>1351</v>
      </c>
      <c r="L602" s="257" t="s">
        <v>516</v>
      </c>
      <c r="M602" s="249"/>
      <c r="N602" s="249"/>
      <c r="O602" s="249"/>
      <c r="P602" s="249"/>
      <c r="Q602" s="249"/>
      <c r="R602" s="249"/>
      <c r="S602" s="249"/>
      <c r="T602" s="249"/>
      <c r="U602" s="249"/>
      <c r="V602" s="249"/>
    </row>
    <row r="603">
      <c r="A603" s="255" t="s">
        <v>1352</v>
      </c>
      <c r="B603" s="248" t="s">
        <v>530</v>
      </c>
      <c r="C603" s="248" t="s">
        <v>531</v>
      </c>
      <c r="D603" s="248" t="s">
        <v>575</v>
      </c>
      <c r="E603" s="248">
        <v>1977.0</v>
      </c>
      <c r="F603" s="256">
        <v>45281.0</v>
      </c>
      <c r="G603" s="248">
        <v>2023.0</v>
      </c>
      <c r="H603" s="248" t="s">
        <v>546</v>
      </c>
      <c r="I603" s="248" t="s">
        <v>547</v>
      </c>
      <c r="J603" s="248" t="s">
        <v>309</v>
      </c>
      <c r="K603" s="249" t="s">
        <v>1353</v>
      </c>
      <c r="L603" s="257" t="s">
        <v>516</v>
      </c>
      <c r="M603" s="249"/>
      <c r="N603" s="249"/>
      <c r="O603" s="249"/>
      <c r="P603" s="249"/>
      <c r="Q603" s="249"/>
      <c r="R603" s="249"/>
      <c r="S603" s="249"/>
      <c r="T603" s="249"/>
      <c r="U603" s="249"/>
      <c r="V603" s="249"/>
    </row>
    <row r="604">
      <c r="A604" s="255" t="s">
        <v>814</v>
      </c>
      <c r="B604" s="248" t="s">
        <v>815</v>
      </c>
      <c r="C604" s="248" t="s">
        <v>728</v>
      </c>
      <c r="D604" s="248" t="s">
        <v>575</v>
      </c>
      <c r="E604" s="248">
        <v>2844.0</v>
      </c>
      <c r="F604" s="256">
        <v>45281.0</v>
      </c>
      <c r="G604" s="248">
        <v>2023.0</v>
      </c>
      <c r="H604" s="248" t="s">
        <v>513</v>
      </c>
      <c r="I604" s="248" t="s">
        <v>514</v>
      </c>
      <c r="J604" s="248" t="s">
        <v>309</v>
      </c>
      <c r="K604" s="249" t="s">
        <v>1354</v>
      </c>
      <c r="L604" s="257" t="s">
        <v>516</v>
      </c>
      <c r="M604" s="249"/>
      <c r="N604" s="249"/>
      <c r="O604" s="249"/>
      <c r="P604" s="249"/>
      <c r="Q604" s="249"/>
      <c r="R604" s="249"/>
      <c r="S604" s="249"/>
      <c r="T604" s="249"/>
      <c r="U604" s="249"/>
      <c r="V604" s="249"/>
    </row>
    <row r="605">
      <c r="A605" s="255" t="s">
        <v>1355</v>
      </c>
      <c r="B605" s="248" t="s">
        <v>966</v>
      </c>
      <c r="C605" s="248" t="s">
        <v>737</v>
      </c>
      <c r="D605" s="248" t="s">
        <v>512</v>
      </c>
      <c r="E605" s="248">
        <v>5809.0</v>
      </c>
      <c r="F605" s="256">
        <v>45281.0</v>
      </c>
      <c r="G605" s="248">
        <v>2023.0</v>
      </c>
      <c r="H605" s="248" t="s">
        <v>551</v>
      </c>
      <c r="I605" s="248" t="s">
        <v>547</v>
      </c>
      <c r="J605" s="248" t="s">
        <v>297</v>
      </c>
      <c r="K605" s="249" t="s">
        <v>1356</v>
      </c>
      <c r="L605" s="257" t="s">
        <v>516</v>
      </c>
      <c r="M605" s="249"/>
      <c r="N605" s="249"/>
      <c r="O605" s="249"/>
      <c r="P605" s="249"/>
      <c r="Q605" s="249"/>
      <c r="R605" s="249"/>
      <c r="S605" s="249"/>
      <c r="T605" s="249"/>
      <c r="U605" s="249"/>
      <c r="V605" s="249"/>
    </row>
    <row r="606">
      <c r="A606" s="255" t="s">
        <v>1357</v>
      </c>
      <c r="B606" s="248" t="s">
        <v>586</v>
      </c>
      <c r="C606" s="248" t="s">
        <v>587</v>
      </c>
      <c r="D606" s="248" t="s">
        <v>512</v>
      </c>
      <c r="E606" s="248">
        <v>4961.0</v>
      </c>
      <c r="F606" s="256">
        <v>45281.0</v>
      </c>
      <c r="G606" s="248">
        <v>2023.0</v>
      </c>
      <c r="H606" s="248" t="s">
        <v>546</v>
      </c>
      <c r="I606" s="248" t="s">
        <v>521</v>
      </c>
      <c r="J606" s="248" t="s">
        <v>297</v>
      </c>
      <c r="K606" s="249" t="s">
        <v>1358</v>
      </c>
      <c r="L606" s="257" t="s">
        <v>516</v>
      </c>
      <c r="M606" s="249"/>
      <c r="N606" s="249"/>
      <c r="O606" s="249"/>
      <c r="P606" s="249"/>
      <c r="Q606" s="249"/>
      <c r="R606" s="249"/>
      <c r="S606" s="249"/>
      <c r="T606" s="249"/>
      <c r="U606" s="249"/>
      <c r="V606" s="249"/>
    </row>
    <row r="607">
      <c r="A607" s="255" t="s">
        <v>1359</v>
      </c>
      <c r="B607" s="248" t="s">
        <v>578</v>
      </c>
      <c r="C607" s="248" t="s">
        <v>579</v>
      </c>
      <c r="D607" s="248" t="s">
        <v>512</v>
      </c>
      <c r="E607" s="248">
        <v>316059.0</v>
      </c>
      <c r="F607" s="256">
        <v>45280.0</v>
      </c>
      <c r="G607" s="248">
        <v>2023.0</v>
      </c>
      <c r="H607" s="248" t="s">
        <v>513</v>
      </c>
      <c r="I607" s="248" t="s">
        <v>514</v>
      </c>
      <c r="J607" s="248" t="s">
        <v>297</v>
      </c>
      <c r="K607" s="249" t="s">
        <v>1360</v>
      </c>
      <c r="L607" s="257" t="s">
        <v>516</v>
      </c>
      <c r="M607" s="249"/>
      <c r="N607" s="249"/>
      <c r="O607" s="249"/>
      <c r="P607" s="249"/>
      <c r="Q607" s="249"/>
      <c r="R607" s="249"/>
      <c r="S607" s="249"/>
      <c r="T607" s="249"/>
      <c r="U607" s="249"/>
      <c r="V607" s="249"/>
    </row>
    <row r="608">
      <c r="A608" s="255" t="s">
        <v>1361</v>
      </c>
      <c r="B608" s="248" t="s">
        <v>75</v>
      </c>
      <c r="C608" s="248" t="s">
        <v>675</v>
      </c>
      <c r="D608" s="248" t="s">
        <v>575</v>
      </c>
      <c r="E608" s="248">
        <v>1676.0</v>
      </c>
      <c r="F608" s="256">
        <v>45279.0</v>
      </c>
      <c r="G608" s="248">
        <v>2023.0</v>
      </c>
      <c r="H608" s="248" t="s">
        <v>513</v>
      </c>
      <c r="I608" s="248" t="s">
        <v>514</v>
      </c>
      <c r="J608" s="248" t="s">
        <v>309</v>
      </c>
      <c r="K608" s="249" t="s">
        <v>1362</v>
      </c>
      <c r="L608" s="257" t="s">
        <v>516</v>
      </c>
      <c r="M608" s="249"/>
      <c r="N608" s="249"/>
      <c r="O608" s="249"/>
      <c r="P608" s="249"/>
      <c r="Q608" s="249"/>
      <c r="R608" s="249"/>
      <c r="S608" s="249"/>
      <c r="T608" s="249"/>
      <c r="U608" s="249"/>
      <c r="V608" s="249"/>
    </row>
    <row r="609">
      <c r="A609" s="255" t="s">
        <v>1363</v>
      </c>
      <c r="B609" s="248" t="s">
        <v>924</v>
      </c>
      <c r="C609" s="248" t="s">
        <v>725</v>
      </c>
      <c r="D609" s="248" t="s">
        <v>512</v>
      </c>
      <c r="E609" s="248">
        <v>67477.0</v>
      </c>
      <c r="F609" s="256">
        <v>45279.0</v>
      </c>
      <c r="G609" s="248">
        <v>2023.0</v>
      </c>
      <c r="H609" s="248" t="s">
        <v>513</v>
      </c>
      <c r="I609" s="248" t="s">
        <v>521</v>
      </c>
      <c r="J609" s="248" t="s">
        <v>297</v>
      </c>
      <c r="K609" s="249" t="s">
        <v>1364</v>
      </c>
      <c r="L609" s="257" t="s">
        <v>516</v>
      </c>
      <c r="M609" s="249"/>
      <c r="N609" s="249"/>
      <c r="O609" s="249"/>
      <c r="P609" s="249"/>
      <c r="Q609" s="249"/>
      <c r="R609" s="249"/>
      <c r="S609" s="249"/>
      <c r="T609" s="249"/>
      <c r="U609" s="249"/>
      <c r="V609" s="249"/>
    </row>
    <row r="610">
      <c r="A610" s="255" t="s">
        <v>1365</v>
      </c>
      <c r="B610" s="248" t="s">
        <v>668</v>
      </c>
      <c r="C610" s="248" t="s">
        <v>669</v>
      </c>
      <c r="D610" s="248" t="s">
        <v>512</v>
      </c>
      <c r="E610" s="248">
        <v>20790.0</v>
      </c>
      <c r="F610" s="256">
        <v>45279.0</v>
      </c>
      <c r="G610" s="248">
        <v>2023.0</v>
      </c>
      <c r="H610" s="248" t="s">
        <v>513</v>
      </c>
      <c r="I610" s="248" t="s">
        <v>514</v>
      </c>
      <c r="J610" s="248" t="s">
        <v>297</v>
      </c>
      <c r="K610" s="249" t="s">
        <v>1366</v>
      </c>
      <c r="L610" s="257" t="s">
        <v>516</v>
      </c>
      <c r="M610" s="249"/>
      <c r="N610" s="249"/>
      <c r="O610" s="249"/>
      <c r="P610" s="249"/>
      <c r="Q610" s="249"/>
      <c r="R610" s="249"/>
      <c r="S610" s="249"/>
      <c r="T610" s="249"/>
      <c r="U610" s="249"/>
      <c r="V610" s="249"/>
    </row>
    <row r="611">
      <c r="A611" s="255" t="s">
        <v>1367</v>
      </c>
      <c r="B611" s="248" t="s">
        <v>590</v>
      </c>
      <c r="C611" s="248" t="s">
        <v>591</v>
      </c>
      <c r="D611" s="248" t="s">
        <v>575</v>
      </c>
      <c r="E611" s="248">
        <v>8898.0</v>
      </c>
      <c r="F611" s="256">
        <v>45278.0</v>
      </c>
      <c r="G611" s="248">
        <v>2023.0</v>
      </c>
      <c r="H611" s="248" t="s">
        <v>513</v>
      </c>
      <c r="I611" s="248" t="s">
        <v>521</v>
      </c>
      <c r="J611" s="248" t="s">
        <v>297</v>
      </c>
      <c r="K611" s="249" t="s">
        <v>1368</v>
      </c>
      <c r="L611" s="257" t="s">
        <v>516</v>
      </c>
      <c r="M611" s="249"/>
      <c r="N611" s="249"/>
      <c r="O611" s="249"/>
      <c r="P611" s="249"/>
      <c r="Q611" s="249"/>
      <c r="R611" s="249"/>
      <c r="S611" s="249"/>
      <c r="T611" s="249"/>
      <c r="U611" s="249"/>
      <c r="V611" s="249"/>
    </row>
    <row r="612">
      <c r="A612" s="255" t="s">
        <v>1369</v>
      </c>
      <c r="B612" s="248" t="s">
        <v>611</v>
      </c>
      <c r="C612" s="248" t="s">
        <v>612</v>
      </c>
      <c r="D612" s="248" t="s">
        <v>512</v>
      </c>
      <c r="E612" s="248">
        <v>14798.0</v>
      </c>
      <c r="F612" s="256">
        <v>45276.0</v>
      </c>
      <c r="G612" s="248">
        <v>2023.0</v>
      </c>
      <c r="H612" s="248" t="s">
        <v>513</v>
      </c>
      <c r="I612" s="248" t="s">
        <v>514</v>
      </c>
      <c r="J612" s="248" t="s">
        <v>297</v>
      </c>
      <c r="K612" s="249" t="s">
        <v>1370</v>
      </c>
      <c r="L612" s="257" t="s">
        <v>516</v>
      </c>
      <c r="M612" s="249"/>
      <c r="N612" s="249"/>
      <c r="O612" s="249"/>
      <c r="P612" s="249"/>
      <c r="Q612" s="249"/>
      <c r="R612" s="249"/>
      <c r="S612" s="249"/>
      <c r="T612" s="249"/>
      <c r="U612" s="249"/>
      <c r="V612" s="249"/>
    </row>
    <row r="613">
      <c r="A613" s="255" t="s">
        <v>1371</v>
      </c>
      <c r="B613" s="248" t="s">
        <v>1063</v>
      </c>
      <c r="C613" s="248" t="s">
        <v>759</v>
      </c>
      <c r="D613" s="248" t="s">
        <v>520</v>
      </c>
      <c r="E613" s="248">
        <v>8049.0</v>
      </c>
      <c r="F613" s="256">
        <v>45275.0</v>
      </c>
      <c r="G613" s="248">
        <v>2023.0</v>
      </c>
      <c r="H613" s="248" t="s">
        <v>513</v>
      </c>
      <c r="I613" s="248" t="s">
        <v>514</v>
      </c>
      <c r="J613" s="248" t="s">
        <v>309</v>
      </c>
      <c r="K613" s="249" t="s">
        <v>1372</v>
      </c>
      <c r="L613" s="257" t="s">
        <v>516</v>
      </c>
      <c r="M613" s="249"/>
      <c r="N613" s="249"/>
      <c r="O613" s="249"/>
      <c r="P613" s="249"/>
      <c r="Q613" s="249"/>
      <c r="R613" s="249"/>
      <c r="S613" s="249"/>
      <c r="T613" s="249"/>
      <c r="U613" s="249"/>
      <c r="V613" s="249"/>
    </row>
    <row r="614">
      <c r="A614" s="255" t="s">
        <v>1373</v>
      </c>
      <c r="B614" s="248" t="s">
        <v>530</v>
      </c>
      <c r="C614" s="248" t="s">
        <v>531</v>
      </c>
      <c r="D614" s="248" t="s">
        <v>520</v>
      </c>
      <c r="E614" s="248">
        <v>1352.0</v>
      </c>
      <c r="F614" s="256">
        <v>45274.0</v>
      </c>
      <c r="G614" s="248">
        <v>2023.0</v>
      </c>
      <c r="H614" s="248" t="s">
        <v>546</v>
      </c>
      <c r="I614" s="248" t="s">
        <v>514</v>
      </c>
      <c r="J614" s="248" t="s">
        <v>309</v>
      </c>
      <c r="K614" s="249" t="s">
        <v>1374</v>
      </c>
      <c r="L614" s="257" t="s">
        <v>516</v>
      </c>
      <c r="M614" s="249"/>
      <c r="N614" s="249"/>
      <c r="O614" s="249"/>
      <c r="P614" s="249"/>
      <c r="Q614" s="249"/>
      <c r="R614" s="249"/>
      <c r="S614" s="249"/>
      <c r="T614" s="249"/>
      <c r="U614" s="249"/>
      <c r="V614" s="249"/>
    </row>
    <row r="615">
      <c r="A615" s="255" t="s">
        <v>1375</v>
      </c>
      <c r="B615" s="248" t="s">
        <v>590</v>
      </c>
      <c r="C615" s="248" t="s">
        <v>591</v>
      </c>
      <c r="D615" s="248" t="s">
        <v>512</v>
      </c>
      <c r="E615" s="248">
        <v>1430.0</v>
      </c>
      <c r="F615" s="256">
        <v>45274.0</v>
      </c>
      <c r="G615" s="248">
        <v>2023.0</v>
      </c>
      <c r="H615" s="248" t="s">
        <v>513</v>
      </c>
      <c r="I615" s="248" t="s">
        <v>514</v>
      </c>
      <c r="J615" s="248" t="s">
        <v>297</v>
      </c>
      <c r="K615" s="249" t="s">
        <v>1376</v>
      </c>
      <c r="L615" s="257" t="s">
        <v>516</v>
      </c>
      <c r="M615" s="249"/>
      <c r="N615" s="249"/>
      <c r="O615" s="249"/>
      <c r="P615" s="249"/>
      <c r="Q615" s="249"/>
      <c r="R615" s="249"/>
      <c r="S615" s="249"/>
      <c r="T615" s="249"/>
      <c r="U615" s="249"/>
      <c r="V615" s="249"/>
    </row>
    <row r="616">
      <c r="A616" s="255" t="s">
        <v>1377</v>
      </c>
      <c r="B616" s="248" t="s">
        <v>1259</v>
      </c>
      <c r="C616" s="248" t="s">
        <v>740</v>
      </c>
      <c r="D616" s="248" t="s">
        <v>512</v>
      </c>
      <c r="E616" s="248">
        <v>2500.0</v>
      </c>
      <c r="F616" s="256">
        <v>45274.0</v>
      </c>
      <c r="G616" s="248">
        <v>2023.0</v>
      </c>
      <c r="H616" s="248" t="s">
        <v>513</v>
      </c>
      <c r="I616" s="248" t="s">
        <v>514</v>
      </c>
      <c r="J616" s="248" t="s">
        <v>309</v>
      </c>
      <c r="K616" s="249" t="s">
        <v>1378</v>
      </c>
      <c r="L616" s="257" t="s">
        <v>516</v>
      </c>
      <c r="M616" s="249"/>
      <c r="N616" s="249"/>
      <c r="O616" s="249"/>
      <c r="P616" s="249"/>
      <c r="Q616" s="249"/>
      <c r="R616" s="249"/>
      <c r="S616" s="249"/>
      <c r="T616" s="249"/>
      <c r="U616" s="249"/>
      <c r="V616" s="249"/>
    </row>
    <row r="617">
      <c r="A617" s="255" t="s">
        <v>1379</v>
      </c>
      <c r="B617" s="248" t="s">
        <v>668</v>
      </c>
      <c r="C617" s="248" t="s">
        <v>669</v>
      </c>
      <c r="D617" s="248" t="s">
        <v>512</v>
      </c>
      <c r="E617" s="248">
        <v>2931.0</v>
      </c>
      <c r="F617" s="256">
        <v>45273.0</v>
      </c>
      <c r="G617" s="248">
        <v>2023.0</v>
      </c>
      <c r="H617" s="248" t="s">
        <v>513</v>
      </c>
      <c r="I617" s="248" t="s">
        <v>521</v>
      </c>
      <c r="J617" s="248" t="s">
        <v>297</v>
      </c>
      <c r="K617" s="249" t="s">
        <v>1380</v>
      </c>
      <c r="L617" s="257" t="s">
        <v>516</v>
      </c>
      <c r="M617" s="249"/>
      <c r="N617" s="249"/>
      <c r="O617" s="249"/>
      <c r="P617" s="249"/>
      <c r="Q617" s="249"/>
      <c r="R617" s="249"/>
      <c r="S617" s="249"/>
      <c r="T617" s="249"/>
      <c r="U617" s="249"/>
      <c r="V617" s="249"/>
    </row>
    <row r="618">
      <c r="A618" s="255" t="s">
        <v>1381</v>
      </c>
      <c r="B618" s="248" t="s">
        <v>530</v>
      </c>
      <c r="C618" s="248" t="s">
        <v>531</v>
      </c>
      <c r="D618" s="248" t="s">
        <v>512</v>
      </c>
      <c r="E618" s="248">
        <v>902540.0</v>
      </c>
      <c r="F618" s="256">
        <v>45272.0</v>
      </c>
      <c r="G618" s="248">
        <v>2023.0</v>
      </c>
      <c r="H618" s="248" t="s">
        <v>513</v>
      </c>
      <c r="I618" s="248" t="s">
        <v>514</v>
      </c>
      <c r="J618" s="248" t="s">
        <v>297</v>
      </c>
      <c r="K618" s="249" t="s">
        <v>1382</v>
      </c>
      <c r="L618" s="257" t="s">
        <v>516</v>
      </c>
      <c r="M618" s="249"/>
      <c r="N618" s="249"/>
      <c r="O618" s="249"/>
      <c r="P618" s="249"/>
      <c r="Q618" s="249"/>
      <c r="R618" s="249"/>
      <c r="S618" s="249"/>
      <c r="T618" s="249"/>
      <c r="U618" s="249"/>
      <c r="V618" s="249"/>
    </row>
    <row r="619">
      <c r="A619" s="255" t="s">
        <v>1383</v>
      </c>
      <c r="B619" s="248" t="s">
        <v>573</v>
      </c>
      <c r="C619" s="248" t="s">
        <v>574</v>
      </c>
      <c r="D619" s="248" t="s">
        <v>520</v>
      </c>
      <c r="E619" s="248">
        <v>1863.0</v>
      </c>
      <c r="F619" s="256">
        <v>45272.0</v>
      </c>
      <c r="G619" s="248">
        <v>2023.0</v>
      </c>
      <c r="H619" s="248" t="s">
        <v>513</v>
      </c>
      <c r="I619" s="248" t="s">
        <v>514</v>
      </c>
      <c r="J619" s="248" t="s">
        <v>309</v>
      </c>
      <c r="K619" s="249" t="s">
        <v>1384</v>
      </c>
      <c r="L619" s="257" t="s">
        <v>516</v>
      </c>
      <c r="M619" s="249"/>
      <c r="N619" s="249"/>
      <c r="O619" s="249"/>
      <c r="P619" s="249"/>
      <c r="Q619" s="249"/>
      <c r="R619" s="249"/>
      <c r="S619" s="249"/>
      <c r="T619" s="249"/>
      <c r="U619" s="249"/>
      <c r="V619" s="249"/>
    </row>
    <row r="620">
      <c r="A620" s="255" t="s">
        <v>1385</v>
      </c>
      <c r="B620" s="248" t="s">
        <v>553</v>
      </c>
      <c r="C620" s="248" t="s">
        <v>554</v>
      </c>
      <c r="D620" s="248" t="s">
        <v>512</v>
      </c>
      <c r="E620" s="248">
        <v>80166.0</v>
      </c>
      <c r="F620" s="256">
        <v>45272.0</v>
      </c>
      <c r="G620" s="248">
        <v>2023.0</v>
      </c>
      <c r="H620" s="248" t="s">
        <v>513</v>
      </c>
      <c r="I620" s="248" t="s">
        <v>514</v>
      </c>
      <c r="J620" s="248" t="s">
        <v>297</v>
      </c>
      <c r="K620" s="249" t="s">
        <v>1386</v>
      </c>
      <c r="L620" s="257" t="s">
        <v>516</v>
      </c>
      <c r="M620" s="249"/>
      <c r="N620" s="249"/>
      <c r="O620" s="249"/>
      <c r="P620" s="249"/>
      <c r="Q620" s="249"/>
      <c r="R620" s="249"/>
      <c r="S620" s="249"/>
      <c r="T620" s="249"/>
      <c r="U620" s="249"/>
      <c r="V620" s="249"/>
    </row>
    <row r="621">
      <c r="A621" s="255" t="s">
        <v>1387</v>
      </c>
      <c r="B621" s="248" t="s">
        <v>679</v>
      </c>
      <c r="C621" s="248" t="s">
        <v>663</v>
      </c>
      <c r="D621" s="248" t="s">
        <v>512</v>
      </c>
      <c r="E621" s="248">
        <v>1868.0</v>
      </c>
      <c r="F621" s="256">
        <v>45272.0</v>
      </c>
      <c r="G621" s="248">
        <v>2023.0</v>
      </c>
      <c r="H621" s="248" t="s">
        <v>513</v>
      </c>
      <c r="I621" s="248" t="s">
        <v>998</v>
      </c>
      <c r="J621" s="248" t="s">
        <v>297</v>
      </c>
      <c r="K621" s="249" t="s">
        <v>66</v>
      </c>
      <c r="L621" s="257" t="s">
        <v>516</v>
      </c>
      <c r="M621" s="249"/>
      <c r="N621" s="249"/>
      <c r="O621" s="249"/>
      <c r="P621" s="249"/>
      <c r="Q621" s="249"/>
      <c r="R621" s="249"/>
      <c r="S621" s="249"/>
      <c r="T621" s="249"/>
      <c r="U621" s="249"/>
      <c r="V621" s="249"/>
    </row>
    <row r="622">
      <c r="A622" s="255" t="s">
        <v>1388</v>
      </c>
      <c r="B622" s="248" t="s">
        <v>831</v>
      </c>
      <c r="C622" s="248" t="s">
        <v>754</v>
      </c>
      <c r="D622" s="248" t="s">
        <v>512</v>
      </c>
      <c r="E622" s="248">
        <v>1000.0</v>
      </c>
      <c r="F622" s="256">
        <v>45272.0</v>
      </c>
      <c r="G622" s="248">
        <v>2023.0</v>
      </c>
      <c r="H622" s="248" t="s">
        <v>546</v>
      </c>
      <c r="I622" s="248" t="s">
        <v>547</v>
      </c>
      <c r="J622" s="248" t="s">
        <v>297</v>
      </c>
      <c r="K622" s="249" t="s">
        <v>1389</v>
      </c>
      <c r="L622" s="257" t="s">
        <v>516</v>
      </c>
      <c r="M622" s="249"/>
      <c r="N622" s="249"/>
      <c r="O622" s="249"/>
      <c r="P622" s="249"/>
      <c r="Q622" s="249"/>
      <c r="R622" s="249"/>
      <c r="S622" s="249"/>
      <c r="T622" s="249"/>
      <c r="U622" s="249"/>
      <c r="V622" s="249"/>
    </row>
    <row r="623">
      <c r="A623" s="255" t="s">
        <v>1390</v>
      </c>
      <c r="B623" s="248" t="s">
        <v>573</v>
      </c>
      <c r="C623" s="248" t="s">
        <v>574</v>
      </c>
      <c r="D623" s="248" t="s">
        <v>512</v>
      </c>
      <c r="E623" s="248">
        <v>5175.0</v>
      </c>
      <c r="F623" s="256">
        <v>45268.0</v>
      </c>
      <c r="G623" s="248">
        <v>2023.0</v>
      </c>
      <c r="H623" s="248" t="s">
        <v>513</v>
      </c>
      <c r="I623" s="248" t="s">
        <v>521</v>
      </c>
      <c r="J623" s="248" t="s">
        <v>297</v>
      </c>
      <c r="K623" s="249" t="s">
        <v>1391</v>
      </c>
      <c r="L623" s="257" t="s">
        <v>516</v>
      </c>
      <c r="M623" s="249"/>
      <c r="N623" s="249"/>
      <c r="O623" s="249"/>
      <c r="P623" s="249"/>
      <c r="Q623" s="249"/>
      <c r="R623" s="249"/>
      <c r="S623" s="249"/>
      <c r="T623" s="249"/>
      <c r="U623" s="249"/>
      <c r="V623" s="249"/>
    </row>
    <row r="624">
      <c r="A624" s="255" t="s">
        <v>1392</v>
      </c>
      <c r="B624" s="248" t="s">
        <v>573</v>
      </c>
      <c r="C624" s="248" t="s">
        <v>574</v>
      </c>
      <c r="D624" s="248" t="s">
        <v>575</v>
      </c>
      <c r="E624" s="248">
        <v>13584.0</v>
      </c>
      <c r="F624" s="256">
        <v>45268.0</v>
      </c>
      <c r="G624" s="248">
        <v>2023.0</v>
      </c>
      <c r="H624" s="248" t="s">
        <v>513</v>
      </c>
      <c r="I624" s="248" t="s">
        <v>521</v>
      </c>
      <c r="J624" s="248" t="s">
        <v>297</v>
      </c>
      <c r="K624" s="249" t="s">
        <v>1393</v>
      </c>
      <c r="L624" s="257" t="s">
        <v>516</v>
      </c>
      <c r="M624" s="249"/>
      <c r="N624" s="249"/>
      <c r="O624" s="249"/>
      <c r="P624" s="249"/>
      <c r="Q624" s="249"/>
      <c r="R624" s="249"/>
      <c r="S624" s="249"/>
      <c r="T624" s="249"/>
      <c r="U624" s="249"/>
      <c r="V624" s="249"/>
    </row>
    <row r="625">
      <c r="A625" s="255" t="s">
        <v>1394</v>
      </c>
      <c r="B625" s="248" t="s">
        <v>534</v>
      </c>
      <c r="C625" s="248" t="s">
        <v>535</v>
      </c>
      <c r="D625" s="248" t="s">
        <v>575</v>
      </c>
      <c r="E625" s="248">
        <v>4264.0</v>
      </c>
      <c r="F625" s="256">
        <v>45268.0</v>
      </c>
      <c r="G625" s="248">
        <v>2023.0</v>
      </c>
      <c r="H625" s="248" t="s">
        <v>513</v>
      </c>
      <c r="I625" s="248" t="s">
        <v>521</v>
      </c>
      <c r="J625" s="248" t="s">
        <v>297</v>
      </c>
      <c r="K625" s="249" t="s">
        <v>1395</v>
      </c>
      <c r="L625" s="257" t="s">
        <v>516</v>
      </c>
      <c r="M625" s="249"/>
      <c r="N625" s="249"/>
      <c r="O625" s="249"/>
      <c r="P625" s="249"/>
      <c r="Q625" s="249"/>
      <c r="R625" s="249"/>
      <c r="S625" s="249"/>
      <c r="T625" s="249"/>
      <c r="U625" s="249"/>
      <c r="V625" s="249"/>
    </row>
    <row r="626">
      <c r="A626" s="255" t="s">
        <v>1396</v>
      </c>
      <c r="B626" s="248" t="s">
        <v>956</v>
      </c>
      <c r="C626" s="248" t="s">
        <v>680</v>
      </c>
      <c r="D626" s="248" t="s">
        <v>512</v>
      </c>
      <c r="E626" s="248">
        <v>97132.0</v>
      </c>
      <c r="F626" s="256">
        <v>45268.0</v>
      </c>
      <c r="G626" s="248">
        <v>2023.0</v>
      </c>
      <c r="H626" s="248" t="s">
        <v>513</v>
      </c>
      <c r="I626" s="248" t="s">
        <v>514</v>
      </c>
      <c r="J626" s="248" t="s">
        <v>309</v>
      </c>
      <c r="K626" s="249" t="s">
        <v>1397</v>
      </c>
      <c r="L626" s="257" t="s">
        <v>516</v>
      </c>
      <c r="M626" s="249"/>
      <c r="N626" s="249"/>
      <c r="O626" s="249"/>
      <c r="P626" s="249"/>
      <c r="Q626" s="249"/>
      <c r="R626" s="249"/>
      <c r="S626" s="249"/>
      <c r="T626" s="249"/>
      <c r="U626" s="249"/>
      <c r="V626" s="249"/>
    </row>
    <row r="627">
      <c r="A627" s="255" t="s">
        <v>1398</v>
      </c>
      <c r="B627" s="248" t="s">
        <v>1399</v>
      </c>
      <c r="C627" s="248" t="s">
        <v>764</v>
      </c>
      <c r="D627" s="248" t="s">
        <v>512</v>
      </c>
      <c r="E627" s="248">
        <v>1412.0</v>
      </c>
      <c r="F627" s="256">
        <v>45267.0</v>
      </c>
      <c r="G627" s="248">
        <v>2023.0</v>
      </c>
      <c r="H627" s="248" t="s">
        <v>556</v>
      </c>
      <c r="I627" s="248" t="s">
        <v>707</v>
      </c>
      <c r="J627" s="248" t="s">
        <v>297</v>
      </c>
      <c r="K627" s="249" t="s">
        <v>1400</v>
      </c>
      <c r="L627" s="257" t="s">
        <v>516</v>
      </c>
      <c r="M627" s="249"/>
      <c r="N627" s="249"/>
      <c r="O627" s="249"/>
      <c r="P627" s="249"/>
      <c r="Q627" s="249"/>
      <c r="R627" s="249"/>
      <c r="S627" s="249"/>
      <c r="T627" s="249"/>
      <c r="U627" s="249"/>
      <c r="V627" s="249"/>
    </row>
    <row r="628">
      <c r="A628" s="255" t="s">
        <v>1401</v>
      </c>
      <c r="B628" s="248" t="s">
        <v>611</v>
      </c>
      <c r="C628" s="248" t="s">
        <v>612</v>
      </c>
      <c r="D628" s="248" t="s">
        <v>512</v>
      </c>
      <c r="E628" s="248">
        <v>5314.0</v>
      </c>
      <c r="F628" s="256">
        <v>45267.0</v>
      </c>
      <c r="G628" s="248">
        <v>2023.0</v>
      </c>
      <c r="H628" s="248" t="s">
        <v>513</v>
      </c>
      <c r="I628" s="248" t="s">
        <v>514</v>
      </c>
      <c r="J628" s="248" t="s">
        <v>309</v>
      </c>
      <c r="K628" s="249" t="s">
        <v>1402</v>
      </c>
      <c r="L628" s="257" t="s">
        <v>516</v>
      </c>
      <c r="M628" s="249"/>
      <c r="N628" s="249"/>
      <c r="O628" s="249"/>
      <c r="P628" s="249"/>
      <c r="Q628" s="249"/>
      <c r="R628" s="249"/>
      <c r="S628" s="249"/>
      <c r="T628" s="249"/>
      <c r="U628" s="249"/>
      <c r="V628" s="249"/>
    </row>
    <row r="629">
      <c r="A629" s="255" t="s">
        <v>1403</v>
      </c>
      <c r="B629" s="248" t="s">
        <v>573</v>
      </c>
      <c r="C629" s="248" t="s">
        <v>574</v>
      </c>
      <c r="D629" s="248" t="s">
        <v>575</v>
      </c>
      <c r="E629" s="248">
        <v>5538.0</v>
      </c>
      <c r="F629" s="256">
        <v>45267.0</v>
      </c>
      <c r="G629" s="248">
        <v>2023.0</v>
      </c>
      <c r="H629" s="248" t="s">
        <v>513</v>
      </c>
      <c r="I629" s="248" t="s">
        <v>514</v>
      </c>
      <c r="J629" s="248" t="s">
        <v>309</v>
      </c>
      <c r="K629" s="249" t="s">
        <v>1404</v>
      </c>
      <c r="L629" s="257" t="s">
        <v>516</v>
      </c>
      <c r="M629" s="249"/>
      <c r="N629" s="249"/>
      <c r="O629" s="249"/>
      <c r="P629" s="249"/>
      <c r="Q629" s="249"/>
      <c r="R629" s="249"/>
      <c r="S629" s="249"/>
      <c r="T629" s="249"/>
      <c r="U629" s="249"/>
      <c r="V629" s="249"/>
    </row>
    <row r="630">
      <c r="A630" s="255" t="s">
        <v>1405</v>
      </c>
      <c r="B630" s="248" t="s">
        <v>530</v>
      </c>
      <c r="C630" s="248" t="s">
        <v>531</v>
      </c>
      <c r="D630" s="248" t="s">
        <v>512</v>
      </c>
      <c r="E630" s="248">
        <v>7185.0</v>
      </c>
      <c r="F630" s="256">
        <v>45266.0</v>
      </c>
      <c r="G630" s="248">
        <v>2023.0</v>
      </c>
      <c r="H630" s="248" t="s">
        <v>513</v>
      </c>
      <c r="I630" s="248" t="s">
        <v>514</v>
      </c>
      <c r="J630" s="248" t="s">
        <v>309</v>
      </c>
      <c r="K630" s="249" t="s">
        <v>1406</v>
      </c>
      <c r="L630" s="257" t="s">
        <v>516</v>
      </c>
      <c r="M630" s="249"/>
      <c r="N630" s="249"/>
      <c r="O630" s="249"/>
      <c r="P630" s="249"/>
      <c r="Q630" s="249"/>
      <c r="R630" s="249"/>
      <c r="S630" s="249"/>
      <c r="T630" s="249"/>
      <c r="U630" s="249"/>
      <c r="V630" s="249"/>
    </row>
    <row r="631">
      <c r="A631" s="255" t="s">
        <v>1407</v>
      </c>
      <c r="B631" s="248" t="s">
        <v>525</v>
      </c>
      <c r="C631" s="248" t="s">
        <v>526</v>
      </c>
      <c r="D631" s="248" t="s">
        <v>512</v>
      </c>
      <c r="E631" s="248">
        <v>12779.0</v>
      </c>
      <c r="F631" s="256">
        <v>45265.0</v>
      </c>
      <c r="G631" s="248">
        <v>2023.0</v>
      </c>
      <c r="H631" s="248" t="s">
        <v>513</v>
      </c>
      <c r="I631" s="248" t="s">
        <v>514</v>
      </c>
      <c r="J631" s="248" t="s">
        <v>297</v>
      </c>
      <c r="K631" s="249" t="s">
        <v>1408</v>
      </c>
      <c r="L631" s="257" t="s">
        <v>516</v>
      </c>
      <c r="M631" s="249"/>
      <c r="N631" s="249"/>
      <c r="O631" s="249"/>
      <c r="P631" s="249"/>
      <c r="Q631" s="249"/>
      <c r="R631" s="249"/>
      <c r="S631" s="249"/>
      <c r="T631" s="249"/>
      <c r="U631" s="249"/>
      <c r="V631" s="249"/>
    </row>
    <row r="632">
      <c r="A632" s="255" t="s">
        <v>1409</v>
      </c>
      <c r="B632" s="248" t="s">
        <v>1070</v>
      </c>
      <c r="C632" s="248" t="s">
        <v>652</v>
      </c>
      <c r="D632" s="248" t="s">
        <v>520</v>
      </c>
      <c r="E632" s="248">
        <v>94807.0</v>
      </c>
      <c r="F632" s="256">
        <v>45264.0</v>
      </c>
      <c r="G632" s="248">
        <v>2023.0</v>
      </c>
      <c r="H632" s="248" t="s">
        <v>513</v>
      </c>
      <c r="I632" s="248" t="s">
        <v>514</v>
      </c>
      <c r="J632" s="248" t="s">
        <v>309</v>
      </c>
      <c r="K632" s="249" t="s">
        <v>1410</v>
      </c>
      <c r="L632" s="257" t="s">
        <v>516</v>
      </c>
      <c r="M632" s="249"/>
      <c r="N632" s="249"/>
      <c r="O632" s="249"/>
      <c r="P632" s="249"/>
      <c r="Q632" s="249"/>
      <c r="R632" s="249"/>
      <c r="S632" s="249"/>
      <c r="T632" s="249"/>
      <c r="U632" s="249"/>
      <c r="V632" s="249"/>
    </row>
    <row r="633">
      <c r="A633" s="255" t="s">
        <v>1411</v>
      </c>
      <c r="B633" s="248" t="s">
        <v>878</v>
      </c>
      <c r="C633" s="248" t="s">
        <v>643</v>
      </c>
      <c r="D633" s="248" t="s">
        <v>575</v>
      </c>
      <c r="E633" s="248">
        <v>1200.0</v>
      </c>
      <c r="F633" s="256">
        <v>45264.0</v>
      </c>
      <c r="G633" s="248">
        <v>2023.0</v>
      </c>
      <c r="H633" s="248" t="s">
        <v>513</v>
      </c>
      <c r="I633" s="248" t="s">
        <v>514</v>
      </c>
      <c r="J633" s="248" t="s">
        <v>309</v>
      </c>
      <c r="K633" s="249" t="s">
        <v>1412</v>
      </c>
      <c r="L633" s="257" t="s">
        <v>516</v>
      </c>
      <c r="M633" s="249"/>
      <c r="N633" s="249"/>
      <c r="O633" s="249"/>
      <c r="P633" s="249"/>
      <c r="Q633" s="249"/>
      <c r="R633" s="249"/>
      <c r="S633" s="249"/>
      <c r="T633" s="249"/>
      <c r="U633" s="249"/>
      <c r="V633" s="249"/>
    </row>
    <row r="634">
      <c r="A634" s="255" t="s">
        <v>1413</v>
      </c>
      <c r="B634" s="248" t="s">
        <v>578</v>
      </c>
      <c r="C634" s="248" t="s">
        <v>579</v>
      </c>
      <c r="D634" s="248" t="s">
        <v>512</v>
      </c>
      <c r="E634" s="248">
        <v>32156.0</v>
      </c>
      <c r="F634" s="256">
        <v>45264.0</v>
      </c>
      <c r="G634" s="248">
        <v>2023.0</v>
      </c>
      <c r="H634" s="248" t="s">
        <v>513</v>
      </c>
      <c r="I634" s="248" t="s">
        <v>521</v>
      </c>
      <c r="J634" s="248" t="s">
        <v>297</v>
      </c>
      <c r="K634" s="249" t="s">
        <v>1414</v>
      </c>
      <c r="L634" s="257" t="s">
        <v>516</v>
      </c>
      <c r="M634" s="249"/>
      <c r="N634" s="249"/>
      <c r="O634" s="249"/>
      <c r="P634" s="249"/>
      <c r="Q634" s="249"/>
      <c r="R634" s="249"/>
      <c r="S634" s="249"/>
      <c r="T634" s="249"/>
      <c r="U634" s="249"/>
      <c r="V634" s="249"/>
    </row>
    <row r="635">
      <c r="A635" s="255" t="s">
        <v>1415</v>
      </c>
      <c r="B635" s="248" t="s">
        <v>530</v>
      </c>
      <c r="C635" s="248" t="s">
        <v>531</v>
      </c>
      <c r="D635" s="248" t="s">
        <v>575</v>
      </c>
      <c r="E635" s="248">
        <v>6491.0</v>
      </c>
      <c r="F635" s="256">
        <v>45264.0</v>
      </c>
      <c r="G635" s="248">
        <v>2023.0</v>
      </c>
      <c r="H635" s="248" t="s">
        <v>513</v>
      </c>
      <c r="I635" s="248" t="s">
        <v>514</v>
      </c>
      <c r="J635" s="248" t="s">
        <v>297</v>
      </c>
      <c r="K635" s="249" t="s">
        <v>1416</v>
      </c>
      <c r="L635" s="257" t="s">
        <v>516</v>
      </c>
      <c r="M635" s="249"/>
      <c r="N635" s="249"/>
      <c r="O635" s="249"/>
      <c r="P635" s="249"/>
      <c r="Q635" s="249"/>
      <c r="R635" s="249"/>
      <c r="S635" s="249"/>
      <c r="T635" s="249"/>
      <c r="U635" s="249"/>
      <c r="V635" s="249"/>
    </row>
    <row r="636">
      <c r="A636" s="255" t="s">
        <v>1409</v>
      </c>
      <c r="B636" s="248" t="s">
        <v>1070</v>
      </c>
      <c r="C636" s="248" t="s">
        <v>652</v>
      </c>
      <c r="D636" s="248" t="s">
        <v>575</v>
      </c>
      <c r="E636" s="248">
        <v>105387.0</v>
      </c>
      <c r="F636" s="256">
        <v>45264.0</v>
      </c>
      <c r="G636" s="248">
        <v>2023.0</v>
      </c>
      <c r="H636" s="248" t="s">
        <v>513</v>
      </c>
      <c r="I636" s="248" t="s">
        <v>514</v>
      </c>
      <c r="J636" s="248" t="s">
        <v>297</v>
      </c>
      <c r="K636" s="249" t="s">
        <v>1417</v>
      </c>
      <c r="L636" s="257" t="s">
        <v>516</v>
      </c>
      <c r="M636" s="249"/>
      <c r="N636" s="249"/>
      <c r="O636" s="249"/>
      <c r="P636" s="249"/>
      <c r="Q636" s="249"/>
      <c r="R636" s="249"/>
      <c r="S636" s="249"/>
      <c r="T636" s="249"/>
      <c r="U636" s="249"/>
      <c r="V636" s="249"/>
    </row>
    <row r="637">
      <c r="A637" s="255" t="s">
        <v>1418</v>
      </c>
      <c r="B637" s="248" t="s">
        <v>815</v>
      </c>
      <c r="C637" s="248" t="s">
        <v>728</v>
      </c>
      <c r="D637" s="248" t="s">
        <v>512</v>
      </c>
      <c r="E637" s="248">
        <v>2062.0</v>
      </c>
      <c r="F637" s="256">
        <v>45263.0</v>
      </c>
      <c r="G637" s="248">
        <v>2023.0</v>
      </c>
      <c r="H637" s="248" t="s">
        <v>513</v>
      </c>
      <c r="I637" s="248" t="s">
        <v>514</v>
      </c>
      <c r="J637" s="248" t="s">
        <v>309</v>
      </c>
      <c r="K637" s="249" t="s">
        <v>1419</v>
      </c>
      <c r="L637" s="257" t="s">
        <v>516</v>
      </c>
      <c r="M637" s="249"/>
      <c r="N637" s="249"/>
      <c r="O637" s="249"/>
      <c r="P637" s="249"/>
      <c r="Q637" s="249"/>
      <c r="R637" s="249"/>
      <c r="S637" s="249"/>
      <c r="T637" s="249"/>
      <c r="U637" s="249"/>
      <c r="V637" s="249"/>
    </row>
    <row r="638">
      <c r="A638" s="255" t="s">
        <v>1420</v>
      </c>
      <c r="B638" s="248" t="s">
        <v>1039</v>
      </c>
      <c r="C638" s="248" t="s">
        <v>686</v>
      </c>
      <c r="D638" s="248" t="s">
        <v>520</v>
      </c>
      <c r="E638" s="248">
        <v>1640.0</v>
      </c>
      <c r="F638" s="256">
        <v>45263.0</v>
      </c>
      <c r="G638" s="248">
        <v>2023.0</v>
      </c>
      <c r="H638" s="248" t="s">
        <v>513</v>
      </c>
      <c r="I638" s="248" t="s">
        <v>521</v>
      </c>
      <c r="J638" s="248" t="s">
        <v>309</v>
      </c>
      <c r="K638" s="249" t="s">
        <v>1421</v>
      </c>
      <c r="L638" s="257" t="s">
        <v>516</v>
      </c>
      <c r="M638" s="249"/>
      <c r="N638" s="249"/>
      <c r="O638" s="249"/>
      <c r="P638" s="249"/>
      <c r="Q638" s="249"/>
      <c r="R638" s="249"/>
      <c r="S638" s="249"/>
      <c r="T638" s="249"/>
      <c r="U638" s="249"/>
      <c r="V638" s="249"/>
    </row>
    <row r="639">
      <c r="A639" s="255" t="s">
        <v>1422</v>
      </c>
      <c r="B639" s="248" t="s">
        <v>748</v>
      </c>
      <c r="C639" s="248" t="s">
        <v>694</v>
      </c>
      <c r="D639" s="248" t="s">
        <v>520</v>
      </c>
      <c r="E639" s="248">
        <v>2654.0</v>
      </c>
      <c r="F639" s="256">
        <v>45261.0</v>
      </c>
      <c r="G639" s="248">
        <v>2023.0</v>
      </c>
      <c r="H639" s="248" t="s">
        <v>546</v>
      </c>
      <c r="I639" s="248" t="s">
        <v>547</v>
      </c>
      <c r="J639" s="248" t="s">
        <v>309</v>
      </c>
      <c r="K639" s="249" t="s">
        <v>1423</v>
      </c>
      <c r="L639" s="257" t="s">
        <v>516</v>
      </c>
      <c r="M639" s="249"/>
      <c r="N639" s="249"/>
      <c r="O639" s="249"/>
      <c r="P639" s="249"/>
      <c r="Q639" s="249"/>
      <c r="R639" s="249"/>
      <c r="S639" s="249"/>
      <c r="T639" s="249"/>
      <c r="U639" s="249"/>
      <c r="V639" s="249"/>
    </row>
    <row r="640">
      <c r="A640" s="255" t="s">
        <v>1424</v>
      </c>
      <c r="B640" s="248" t="s">
        <v>518</v>
      </c>
      <c r="C640" s="248" t="s">
        <v>519</v>
      </c>
      <c r="D640" s="248" t="s">
        <v>512</v>
      </c>
      <c r="E640" s="248">
        <v>484000.0</v>
      </c>
      <c r="F640" s="256">
        <v>45261.0</v>
      </c>
      <c r="G640" s="248">
        <v>2023.0</v>
      </c>
      <c r="H640" s="248" t="s">
        <v>513</v>
      </c>
      <c r="I640" s="248" t="s">
        <v>514</v>
      </c>
      <c r="J640" s="248" t="s">
        <v>297</v>
      </c>
      <c r="K640" s="249" t="s">
        <v>1425</v>
      </c>
      <c r="L640" s="257" t="s">
        <v>516</v>
      </c>
      <c r="M640" s="249"/>
      <c r="N640" s="249"/>
      <c r="O640" s="249"/>
      <c r="P640" s="249"/>
      <c r="Q640" s="249"/>
      <c r="R640" s="249"/>
      <c r="S640" s="249"/>
      <c r="T640" s="249"/>
      <c r="U640" s="249"/>
      <c r="V640" s="249"/>
    </row>
    <row r="641">
      <c r="A641" s="255" t="s">
        <v>1426</v>
      </c>
      <c r="B641" s="248" t="s">
        <v>595</v>
      </c>
      <c r="C641" s="248" t="s">
        <v>596</v>
      </c>
      <c r="D641" s="248" t="s">
        <v>512</v>
      </c>
      <c r="E641" s="248">
        <v>19373.0</v>
      </c>
      <c r="F641" s="256">
        <v>45261.0</v>
      </c>
      <c r="G641" s="248">
        <v>2023.0</v>
      </c>
      <c r="H641" s="248" t="s">
        <v>513</v>
      </c>
      <c r="I641" s="248" t="s">
        <v>521</v>
      </c>
      <c r="J641" s="248" t="s">
        <v>297</v>
      </c>
      <c r="K641" s="249" t="s">
        <v>1427</v>
      </c>
      <c r="L641" s="257" t="s">
        <v>516</v>
      </c>
      <c r="M641" s="249"/>
      <c r="N641" s="249"/>
      <c r="O641" s="249"/>
      <c r="P641" s="249"/>
      <c r="Q641" s="249"/>
      <c r="R641" s="249"/>
      <c r="S641" s="249"/>
      <c r="T641" s="249"/>
      <c r="U641" s="249"/>
      <c r="V641" s="249"/>
    </row>
    <row r="642">
      <c r="A642" s="255" t="s">
        <v>1428</v>
      </c>
      <c r="B642" s="248" t="s">
        <v>530</v>
      </c>
      <c r="C642" s="248" t="s">
        <v>531</v>
      </c>
      <c r="D642" s="248" t="s">
        <v>512</v>
      </c>
      <c r="E642" s="248">
        <v>1166.0</v>
      </c>
      <c r="F642" s="256">
        <v>45259.0</v>
      </c>
      <c r="G642" s="248">
        <v>2023.0</v>
      </c>
      <c r="H642" s="248" t="s">
        <v>513</v>
      </c>
      <c r="I642" s="248" t="s">
        <v>514</v>
      </c>
      <c r="J642" s="248" t="s">
        <v>309</v>
      </c>
      <c r="K642" s="249" t="s">
        <v>1429</v>
      </c>
      <c r="L642" s="257" t="s">
        <v>516</v>
      </c>
      <c r="M642" s="249"/>
      <c r="N642" s="249"/>
      <c r="O642" s="249"/>
      <c r="P642" s="249"/>
      <c r="Q642" s="249"/>
      <c r="R642" s="249"/>
      <c r="S642" s="249"/>
      <c r="T642" s="249"/>
      <c r="U642" s="249"/>
      <c r="V642" s="249"/>
    </row>
    <row r="643">
      <c r="A643" s="255" t="s">
        <v>1430</v>
      </c>
      <c r="B643" s="248" t="s">
        <v>542</v>
      </c>
      <c r="C643" s="248" t="s">
        <v>543</v>
      </c>
      <c r="D643" s="248" t="s">
        <v>512</v>
      </c>
      <c r="E643" s="248">
        <v>2495.0</v>
      </c>
      <c r="F643" s="256">
        <v>45257.0</v>
      </c>
      <c r="G643" s="248">
        <v>2023.0</v>
      </c>
      <c r="H643" s="248" t="s">
        <v>551</v>
      </c>
      <c r="I643" s="248" t="s">
        <v>1431</v>
      </c>
      <c r="J643" s="248" t="s">
        <v>297</v>
      </c>
      <c r="K643" s="249" t="s">
        <v>1432</v>
      </c>
      <c r="L643" s="257" t="s">
        <v>516</v>
      </c>
      <c r="M643" s="249"/>
      <c r="N643" s="249"/>
      <c r="O643" s="249"/>
      <c r="P643" s="249"/>
      <c r="Q643" s="249"/>
      <c r="R643" s="249"/>
      <c r="S643" s="249"/>
      <c r="T643" s="249"/>
      <c r="U643" s="249"/>
      <c r="V643" s="249"/>
    </row>
    <row r="644">
      <c r="A644" s="255" t="s">
        <v>1433</v>
      </c>
      <c r="B644" s="248" t="s">
        <v>586</v>
      </c>
      <c r="C644" s="248" t="s">
        <v>587</v>
      </c>
      <c r="D644" s="248" t="s">
        <v>512</v>
      </c>
      <c r="E644" s="248">
        <v>3169.0</v>
      </c>
      <c r="F644" s="256">
        <v>45254.0</v>
      </c>
      <c r="G644" s="248">
        <v>2023.0</v>
      </c>
      <c r="H644" s="248" t="s">
        <v>546</v>
      </c>
      <c r="I644" s="248" t="s">
        <v>547</v>
      </c>
      <c r="J644" s="248" t="s">
        <v>309</v>
      </c>
      <c r="K644" s="249" t="s">
        <v>1434</v>
      </c>
      <c r="L644" s="257" t="s">
        <v>516</v>
      </c>
      <c r="M644" s="249"/>
      <c r="N644" s="249"/>
      <c r="O644" s="249"/>
      <c r="P644" s="249"/>
      <c r="Q644" s="249"/>
      <c r="R644" s="249"/>
      <c r="S644" s="249"/>
      <c r="T644" s="249"/>
      <c r="U644" s="249"/>
      <c r="V644" s="249"/>
    </row>
    <row r="645">
      <c r="A645" s="255" t="s">
        <v>1435</v>
      </c>
      <c r="B645" s="248" t="s">
        <v>530</v>
      </c>
      <c r="C645" s="248" t="s">
        <v>531</v>
      </c>
      <c r="D645" s="248" t="s">
        <v>512</v>
      </c>
      <c r="E645" s="248">
        <v>2463.0</v>
      </c>
      <c r="F645" s="256">
        <v>45252.0</v>
      </c>
      <c r="G645" s="248">
        <v>2023.0</v>
      </c>
      <c r="H645" s="248" t="s">
        <v>513</v>
      </c>
      <c r="I645" s="248" t="s">
        <v>521</v>
      </c>
      <c r="J645" s="248" t="s">
        <v>297</v>
      </c>
      <c r="K645" s="249" t="s">
        <v>1436</v>
      </c>
      <c r="L645" s="257" t="s">
        <v>516</v>
      </c>
      <c r="M645" s="249"/>
      <c r="N645" s="249"/>
      <c r="O645" s="249"/>
      <c r="P645" s="249"/>
      <c r="Q645" s="249"/>
      <c r="R645" s="249"/>
      <c r="S645" s="249"/>
      <c r="T645" s="249"/>
      <c r="U645" s="249"/>
      <c r="V645" s="249"/>
    </row>
    <row r="646">
      <c r="A646" s="255" t="s">
        <v>1437</v>
      </c>
      <c r="B646" s="248" t="s">
        <v>1063</v>
      </c>
      <c r="C646" s="248" t="s">
        <v>759</v>
      </c>
      <c r="D646" s="248" t="s">
        <v>512</v>
      </c>
      <c r="E646" s="248">
        <v>1250.0</v>
      </c>
      <c r="F646" s="256">
        <v>45252.0</v>
      </c>
      <c r="G646" s="248">
        <v>2023.0</v>
      </c>
      <c r="H646" s="248" t="s">
        <v>513</v>
      </c>
      <c r="I646" s="248" t="s">
        <v>514</v>
      </c>
      <c r="J646" s="248" t="s">
        <v>297</v>
      </c>
      <c r="K646" s="249" t="s">
        <v>1438</v>
      </c>
      <c r="L646" s="257" t="s">
        <v>516</v>
      </c>
      <c r="M646" s="249"/>
      <c r="N646" s="249"/>
      <c r="O646" s="249"/>
      <c r="P646" s="249"/>
      <c r="Q646" s="249"/>
      <c r="R646" s="249"/>
      <c r="S646" s="249"/>
      <c r="T646" s="249"/>
      <c r="U646" s="249"/>
      <c r="V646" s="249"/>
    </row>
    <row r="647">
      <c r="A647" s="255" t="s">
        <v>1439</v>
      </c>
      <c r="B647" s="248" t="s">
        <v>1440</v>
      </c>
      <c r="C647" s="248" t="s">
        <v>762</v>
      </c>
      <c r="D647" s="248" t="s">
        <v>520</v>
      </c>
      <c r="E647" s="248">
        <v>2068426.0</v>
      </c>
      <c r="F647" s="256">
        <v>45251.0</v>
      </c>
      <c r="G647" s="248">
        <v>2023.0</v>
      </c>
      <c r="H647" s="248" t="s">
        <v>513</v>
      </c>
      <c r="I647" s="248" t="s">
        <v>514</v>
      </c>
      <c r="J647" s="248" t="s">
        <v>309</v>
      </c>
      <c r="K647" s="249" t="s">
        <v>1441</v>
      </c>
      <c r="L647" s="257" t="s">
        <v>516</v>
      </c>
      <c r="M647" s="249"/>
      <c r="N647" s="249"/>
      <c r="O647" s="249"/>
      <c r="P647" s="249"/>
      <c r="Q647" s="249"/>
      <c r="R647" s="249"/>
      <c r="S647" s="249"/>
      <c r="T647" s="249"/>
      <c r="U647" s="249"/>
      <c r="V647" s="249"/>
    </row>
    <row r="648">
      <c r="A648" s="255" t="s">
        <v>1442</v>
      </c>
      <c r="B648" s="248" t="s">
        <v>679</v>
      </c>
      <c r="C648" s="248" t="s">
        <v>663</v>
      </c>
      <c r="D648" s="248" t="s">
        <v>512</v>
      </c>
      <c r="E648" s="248">
        <v>48261.0</v>
      </c>
      <c r="F648" s="256">
        <v>45251.0</v>
      </c>
      <c r="G648" s="248">
        <v>2023.0</v>
      </c>
      <c r="H648" s="248" t="s">
        <v>513</v>
      </c>
      <c r="I648" s="248" t="s">
        <v>514</v>
      </c>
      <c r="J648" s="248" t="s">
        <v>309</v>
      </c>
      <c r="K648" s="249" t="s">
        <v>1443</v>
      </c>
      <c r="L648" s="257" t="s">
        <v>516</v>
      </c>
      <c r="M648" s="249"/>
      <c r="N648" s="249"/>
      <c r="O648" s="249"/>
      <c r="P648" s="249"/>
      <c r="Q648" s="249"/>
      <c r="R648" s="249"/>
      <c r="S648" s="249"/>
      <c r="T648" s="249"/>
      <c r="U648" s="249"/>
      <c r="V648" s="249"/>
    </row>
    <row r="649">
      <c r="A649" s="255" t="s">
        <v>1444</v>
      </c>
      <c r="B649" s="248" t="s">
        <v>525</v>
      </c>
      <c r="C649" s="248" t="s">
        <v>526</v>
      </c>
      <c r="D649" s="248" t="s">
        <v>512</v>
      </c>
      <c r="E649" s="248">
        <v>437392.0</v>
      </c>
      <c r="F649" s="256">
        <v>45250.0</v>
      </c>
      <c r="G649" s="248">
        <v>2023.0</v>
      </c>
      <c r="H649" s="248" t="s">
        <v>513</v>
      </c>
      <c r="I649" s="248" t="s">
        <v>514</v>
      </c>
      <c r="J649" s="248" t="s">
        <v>297</v>
      </c>
      <c r="K649" s="249" t="s">
        <v>1445</v>
      </c>
      <c r="L649" s="257" t="s">
        <v>516</v>
      </c>
      <c r="M649" s="249"/>
      <c r="N649" s="249"/>
      <c r="O649" s="249"/>
      <c r="P649" s="249"/>
      <c r="Q649" s="249"/>
      <c r="R649" s="249"/>
      <c r="S649" s="249"/>
      <c r="T649" s="249"/>
      <c r="U649" s="249"/>
      <c r="V649" s="249"/>
    </row>
    <row r="650">
      <c r="A650" s="255" t="s">
        <v>1446</v>
      </c>
      <c r="B650" s="248" t="s">
        <v>530</v>
      </c>
      <c r="C650" s="248" t="s">
        <v>531</v>
      </c>
      <c r="D650" s="248" t="s">
        <v>575</v>
      </c>
      <c r="E650" s="248">
        <v>636849.0</v>
      </c>
      <c r="F650" s="256">
        <v>45247.0</v>
      </c>
      <c r="G650" s="248">
        <v>2023.0</v>
      </c>
      <c r="H650" s="248" t="s">
        <v>513</v>
      </c>
      <c r="I650" s="248" t="s">
        <v>514</v>
      </c>
      <c r="J650" s="248" t="s">
        <v>309</v>
      </c>
      <c r="K650" s="249" t="s">
        <v>1447</v>
      </c>
      <c r="L650" s="257" t="s">
        <v>516</v>
      </c>
      <c r="M650" s="249"/>
      <c r="N650" s="249"/>
      <c r="O650" s="249"/>
      <c r="P650" s="249"/>
      <c r="Q650" s="249"/>
      <c r="R650" s="249"/>
      <c r="S650" s="249"/>
      <c r="T650" s="249"/>
      <c r="U650" s="249"/>
      <c r="V650" s="249"/>
    </row>
    <row r="651">
      <c r="A651" s="255" t="s">
        <v>1448</v>
      </c>
      <c r="B651" s="248" t="s">
        <v>530</v>
      </c>
      <c r="C651" s="248" t="s">
        <v>531</v>
      </c>
      <c r="D651" s="248" t="s">
        <v>520</v>
      </c>
      <c r="E651" s="248">
        <v>27832.0</v>
      </c>
      <c r="F651" s="256">
        <v>45247.0</v>
      </c>
      <c r="G651" s="248">
        <v>2023.0</v>
      </c>
      <c r="H651" s="248" t="s">
        <v>513</v>
      </c>
      <c r="I651" s="248" t="s">
        <v>514</v>
      </c>
      <c r="J651" s="248" t="s">
        <v>309</v>
      </c>
      <c r="K651" s="249" t="s">
        <v>1449</v>
      </c>
      <c r="L651" s="257" t="s">
        <v>516</v>
      </c>
      <c r="M651" s="249"/>
      <c r="N651" s="249"/>
      <c r="O651" s="249"/>
      <c r="P651" s="249"/>
      <c r="Q651" s="249"/>
      <c r="R651" s="249"/>
      <c r="S651" s="249"/>
      <c r="T651" s="249"/>
      <c r="U651" s="249"/>
      <c r="V651" s="249"/>
    </row>
    <row r="652">
      <c r="A652" s="255" t="s">
        <v>1450</v>
      </c>
      <c r="B652" s="248" t="s">
        <v>1440</v>
      </c>
      <c r="C652" s="248" t="s">
        <v>762</v>
      </c>
      <c r="D652" s="248" t="s">
        <v>575</v>
      </c>
      <c r="E652" s="248">
        <v>376504.0</v>
      </c>
      <c r="F652" s="256">
        <v>45246.0</v>
      </c>
      <c r="G652" s="248">
        <v>2023.0</v>
      </c>
      <c r="H652" s="248" t="s">
        <v>513</v>
      </c>
      <c r="I652" s="248" t="s">
        <v>514</v>
      </c>
      <c r="J652" s="248" t="s">
        <v>297</v>
      </c>
      <c r="K652" s="249" t="s">
        <v>1451</v>
      </c>
      <c r="L652" s="257" t="s">
        <v>516</v>
      </c>
      <c r="M652" s="249"/>
      <c r="N652" s="249"/>
      <c r="O652" s="249"/>
      <c r="P652" s="249"/>
      <c r="Q652" s="249"/>
      <c r="R652" s="249"/>
      <c r="S652" s="249"/>
      <c r="T652" s="249"/>
      <c r="U652" s="249"/>
      <c r="V652" s="249"/>
    </row>
    <row r="653">
      <c r="A653" s="255" t="s">
        <v>1452</v>
      </c>
      <c r="B653" s="248" t="s">
        <v>586</v>
      </c>
      <c r="C653" s="248" t="s">
        <v>587</v>
      </c>
      <c r="D653" s="248" t="s">
        <v>512</v>
      </c>
      <c r="E653" s="248">
        <v>2421.0</v>
      </c>
      <c r="F653" s="256">
        <v>45246.0</v>
      </c>
      <c r="G653" s="248">
        <v>2023.0</v>
      </c>
      <c r="H653" s="248" t="s">
        <v>546</v>
      </c>
      <c r="I653" s="248" t="s">
        <v>521</v>
      </c>
      <c r="J653" s="248" t="s">
        <v>297</v>
      </c>
      <c r="K653" s="249" t="s">
        <v>1453</v>
      </c>
      <c r="L653" s="257" t="s">
        <v>516</v>
      </c>
      <c r="M653" s="249"/>
      <c r="N653" s="249"/>
      <c r="O653" s="249"/>
      <c r="P653" s="249"/>
      <c r="Q653" s="249"/>
      <c r="R653" s="249"/>
      <c r="S653" s="249"/>
      <c r="T653" s="249"/>
      <c r="U653" s="249"/>
      <c r="V653" s="249"/>
    </row>
    <row r="654">
      <c r="A654" s="255" t="s">
        <v>1454</v>
      </c>
      <c r="B654" s="248" t="s">
        <v>530</v>
      </c>
      <c r="C654" s="248" t="s">
        <v>531</v>
      </c>
      <c r="D654" s="248" t="s">
        <v>512</v>
      </c>
      <c r="E654" s="248">
        <v>2484.0</v>
      </c>
      <c r="F654" s="256">
        <v>45245.0</v>
      </c>
      <c r="G654" s="248">
        <v>2023.0</v>
      </c>
      <c r="H654" s="248" t="s">
        <v>513</v>
      </c>
      <c r="I654" s="248" t="s">
        <v>514</v>
      </c>
      <c r="J654" s="248" t="s">
        <v>297</v>
      </c>
      <c r="K654" s="249" t="s">
        <v>1455</v>
      </c>
      <c r="L654" s="257" t="s">
        <v>516</v>
      </c>
      <c r="M654" s="249"/>
      <c r="N654" s="249"/>
      <c r="O654" s="249"/>
      <c r="P654" s="249"/>
      <c r="Q654" s="249"/>
      <c r="R654" s="249"/>
      <c r="S654" s="249"/>
      <c r="T654" s="249"/>
      <c r="U654" s="249"/>
      <c r="V654" s="249"/>
    </row>
    <row r="655">
      <c r="A655" s="255" t="s">
        <v>1456</v>
      </c>
      <c r="B655" s="248" t="s">
        <v>75</v>
      </c>
      <c r="C655" s="248" t="s">
        <v>675</v>
      </c>
      <c r="D655" s="248" t="s">
        <v>575</v>
      </c>
      <c r="E655" s="248">
        <v>78692.0</v>
      </c>
      <c r="F655" s="256">
        <v>45244.0</v>
      </c>
      <c r="G655" s="248">
        <v>2023.0</v>
      </c>
      <c r="H655" s="248" t="s">
        <v>513</v>
      </c>
      <c r="I655" s="248" t="s">
        <v>514</v>
      </c>
      <c r="J655" s="248" t="s">
        <v>309</v>
      </c>
      <c r="K655" s="249" t="s">
        <v>1457</v>
      </c>
      <c r="L655" s="257" t="s">
        <v>516</v>
      </c>
      <c r="M655" s="249"/>
      <c r="N655" s="249"/>
      <c r="O655" s="249"/>
      <c r="P655" s="249"/>
      <c r="Q655" s="249"/>
      <c r="R655" s="249"/>
      <c r="S655" s="249"/>
      <c r="T655" s="249"/>
      <c r="U655" s="249"/>
      <c r="V655" s="249"/>
    </row>
    <row r="656">
      <c r="A656" s="255" t="s">
        <v>1458</v>
      </c>
      <c r="B656" s="248" t="s">
        <v>668</v>
      </c>
      <c r="C656" s="248" t="s">
        <v>669</v>
      </c>
      <c r="D656" s="248" t="s">
        <v>512</v>
      </c>
      <c r="E656" s="248">
        <v>240667.0</v>
      </c>
      <c r="F656" s="256">
        <v>45244.0</v>
      </c>
      <c r="G656" s="248">
        <v>2023.0</v>
      </c>
      <c r="H656" s="248" t="s">
        <v>513</v>
      </c>
      <c r="I656" s="248" t="s">
        <v>514</v>
      </c>
      <c r="J656" s="248" t="s">
        <v>297</v>
      </c>
      <c r="K656" s="249" t="s">
        <v>1459</v>
      </c>
      <c r="L656" s="257" t="s">
        <v>516</v>
      </c>
      <c r="M656" s="249"/>
      <c r="N656" s="249"/>
      <c r="O656" s="249"/>
      <c r="P656" s="249"/>
      <c r="Q656" s="249"/>
      <c r="R656" s="249"/>
      <c r="S656" s="249"/>
      <c r="T656" s="249"/>
      <c r="U656" s="249"/>
      <c r="V656" s="249"/>
    </row>
    <row r="657">
      <c r="A657" s="255" t="s">
        <v>1460</v>
      </c>
      <c r="B657" s="248" t="s">
        <v>573</v>
      </c>
      <c r="C657" s="248" t="s">
        <v>574</v>
      </c>
      <c r="D657" s="248" t="s">
        <v>520</v>
      </c>
      <c r="E657" s="248">
        <v>377931.0</v>
      </c>
      <c r="F657" s="256">
        <v>45244.0</v>
      </c>
      <c r="G657" s="248">
        <v>2023.0</v>
      </c>
      <c r="H657" s="248" t="s">
        <v>513</v>
      </c>
      <c r="I657" s="248" t="s">
        <v>514</v>
      </c>
      <c r="J657" s="248" t="s">
        <v>309</v>
      </c>
      <c r="K657" s="249" t="s">
        <v>1461</v>
      </c>
      <c r="L657" s="257" t="s">
        <v>516</v>
      </c>
      <c r="M657" s="249"/>
      <c r="N657" s="249"/>
      <c r="O657" s="249"/>
      <c r="P657" s="249"/>
      <c r="Q657" s="249"/>
      <c r="R657" s="249"/>
      <c r="S657" s="249"/>
      <c r="T657" s="249"/>
      <c r="U657" s="249"/>
      <c r="V657" s="249"/>
    </row>
    <row r="658">
      <c r="A658" s="255" t="s">
        <v>1462</v>
      </c>
      <c r="B658" s="248" t="s">
        <v>679</v>
      </c>
      <c r="C658" s="248" t="s">
        <v>663</v>
      </c>
      <c r="D658" s="248" t="s">
        <v>512</v>
      </c>
      <c r="E658" s="248">
        <v>28531.0</v>
      </c>
      <c r="F658" s="256">
        <v>45244.0</v>
      </c>
      <c r="G658" s="248">
        <v>2023.0</v>
      </c>
      <c r="H658" s="248" t="s">
        <v>513</v>
      </c>
      <c r="I658" s="248" t="s">
        <v>514</v>
      </c>
      <c r="J658" s="248" t="s">
        <v>297</v>
      </c>
      <c r="K658" s="249" t="s">
        <v>66</v>
      </c>
      <c r="L658" s="257" t="s">
        <v>516</v>
      </c>
      <c r="M658" s="249"/>
      <c r="N658" s="249"/>
      <c r="O658" s="249"/>
      <c r="P658" s="249"/>
      <c r="Q658" s="249"/>
      <c r="R658" s="249"/>
      <c r="S658" s="249"/>
      <c r="T658" s="249"/>
      <c r="U658" s="249"/>
      <c r="V658" s="249"/>
    </row>
    <row r="659">
      <c r="A659" s="255" t="s">
        <v>1463</v>
      </c>
      <c r="B659" s="248" t="s">
        <v>894</v>
      </c>
      <c r="C659" s="248" t="s">
        <v>639</v>
      </c>
      <c r="D659" s="248" t="s">
        <v>512</v>
      </c>
      <c r="E659" s="248">
        <v>17147.0</v>
      </c>
      <c r="F659" s="256">
        <v>45243.0</v>
      </c>
      <c r="G659" s="248">
        <v>2023.0</v>
      </c>
      <c r="H659" s="248" t="s">
        <v>513</v>
      </c>
      <c r="I659" s="248" t="s">
        <v>514</v>
      </c>
      <c r="J659" s="248" t="s">
        <v>297</v>
      </c>
      <c r="K659" s="249" t="s">
        <v>66</v>
      </c>
      <c r="L659" s="257" t="s">
        <v>516</v>
      </c>
      <c r="M659" s="249"/>
      <c r="N659" s="249"/>
      <c r="O659" s="249"/>
      <c r="P659" s="249"/>
      <c r="Q659" s="249"/>
      <c r="R659" s="249"/>
      <c r="S659" s="249"/>
      <c r="T659" s="249"/>
      <c r="U659" s="249"/>
      <c r="V659" s="249"/>
    </row>
    <row r="660">
      <c r="A660" s="255" t="s">
        <v>1464</v>
      </c>
      <c r="B660" s="248" t="s">
        <v>1063</v>
      </c>
      <c r="C660" s="248" t="s">
        <v>759</v>
      </c>
      <c r="D660" s="248" t="s">
        <v>512</v>
      </c>
      <c r="E660" s="248">
        <v>1758.0</v>
      </c>
      <c r="F660" s="256">
        <v>45243.0</v>
      </c>
      <c r="G660" s="248">
        <v>2023.0</v>
      </c>
      <c r="H660" s="248" t="s">
        <v>546</v>
      </c>
      <c r="I660" s="248" t="s">
        <v>514</v>
      </c>
      <c r="J660" s="248" t="s">
        <v>297</v>
      </c>
      <c r="K660" s="249" t="s">
        <v>1465</v>
      </c>
      <c r="L660" s="257" t="s">
        <v>516</v>
      </c>
      <c r="M660" s="249"/>
      <c r="N660" s="249"/>
      <c r="O660" s="249"/>
      <c r="P660" s="249"/>
      <c r="Q660" s="249"/>
      <c r="R660" s="249"/>
      <c r="S660" s="249"/>
      <c r="T660" s="249"/>
      <c r="U660" s="249"/>
      <c r="V660" s="249"/>
    </row>
    <row r="661">
      <c r="A661" s="255" t="s">
        <v>1466</v>
      </c>
      <c r="B661" s="248" t="s">
        <v>578</v>
      </c>
      <c r="C661" s="248" t="s">
        <v>579</v>
      </c>
      <c r="D661" s="248" t="s">
        <v>520</v>
      </c>
      <c r="E661" s="248">
        <v>436198.0</v>
      </c>
      <c r="F661" s="256">
        <v>45240.0</v>
      </c>
      <c r="G661" s="248">
        <v>2023.0</v>
      </c>
      <c r="H661" s="248" t="s">
        <v>513</v>
      </c>
      <c r="I661" s="248" t="s">
        <v>514</v>
      </c>
      <c r="J661" s="248" t="s">
        <v>309</v>
      </c>
      <c r="K661" s="249" t="s">
        <v>1467</v>
      </c>
      <c r="L661" s="257" t="s">
        <v>516</v>
      </c>
      <c r="M661" s="249"/>
      <c r="N661" s="249"/>
      <c r="O661" s="249"/>
      <c r="P661" s="249"/>
      <c r="Q661" s="249"/>
      <c r="R661" s="249"/>
      <c r="S661" s="249"/>
      <c r="T661" s="249"/>
      <c r="U661" s="249"/>
      <c r="V661" s="249"/>
    </row>
    <row r="662">
      <c r="A662" s="255" t="s">
        <v>1468</v>
      </c>
      <c r="B662" s="248" t="s">
        <v>530</v>
      </c>
      <c r="C662" s="248" t="s">
        <v>531</v>
      </c>
      <c r="D662" s="248" t="s">
        <v>512</v>
      </c>
      <c r="E662" s="248">
        <v>7988.0</v>
      </c>
      <c r="F662" s="256">
        <v>45240.0</v>
      </c>
      <c r="G662" s="248">
        <v>2023.0</v>
      </c>
      <c r="H662" s="248" t="s">
        <v>513</v>
      </c>
      <c r="I662" s="248" t="s">
        <v>514</v>
      </c>
      <c r="J662" s="248" t="s">
        <v>297</v>
      </c>
      <c r="K662" s="249" t="s">
        <v>1469</v>
      </c>
      <c r="L662" s="257" t="s">
        <v>516</v>
      </c>
      <c r="M662" s="249"/>
      <c r="N662" s="249"/>
      <c r="O662" s="249"/>
      <c r="P662" s="249"/>
      <c r="Q662" s="249"/>
      <c r="R662" s="249"/>
      <c r="S662" s="249"/>
      <c r="T662" s="249"/>
      <c r="U662" s="249"/>
      <c r="V662" s="249"/>
    </row>
    <row r="663">
      <c r="A663" s="255" t="s">
        <v>1470</v>
      </c>
      <c r="B663" s="248" t="s">
        <v>530</v>
      </c>
      <c r="C663" s="248" t="s">
        <v>531</v>
      </c>
      <c r="D663" s="248" t="s">
        <v>512</v>
      </c>
      <c r="E663" s="248">
        <v>1204.0</v>
      </c>
      <c r="F663" s="256">
        <v>45237.0</v>
      </c>
      <c r="G663" s="248">
        <v>2023.0</v>
      </c>
      <c r="H663" s="248" t="s">
        <v>546</v>
      </c>
      <c r="I663" s="248" t="s">
        <v>521</v>
      </c>
      <c r="J663" s="248" t="s">
        <v>297</v>
      </c>
      <c r="K663" s="249" t="s">
        <v>1471</v>
      </c>
      <c r="L663" s="257" t="s">
        <v>516</v>
      </c>
      <c r="M663" s="249"/>
      <c r="N663" s="249"/>
      <c r="O663" s="249"/>
      <c r="P663" s="249"/>
      <c r="Q663" s="249"/>
      <c r="R663" s="249"/>
      <c r="S663" s="249"/>
      <c r="T663" s="249"/>
      <c r="U663" s="249"/>
      <c r="V663" s="249"/>
    </row>
    <row r="664">
      <c r="A664" s="255" t="s">
        <v>1472</v>
      </c>
      <c r="B664" s="248" t="s">
        <v>525</v>
      </c>
      <c r="C664" s="248" t="s">
        <v>526</v>
      </c>
      <c r="D664" s="248" t="s">
        <v>512</v>
      </c>
      <c r="E664" s="248">
        <v>116956.0</v>
      </c>
      <c r="F664" s="256">
        <v>45236.0</v>
      </c>
      <c r="G664" s="248">
        <v>2023.0</v>
      </c>
      <c r="H664" s="248" t="s">
        <v>513</v>
      </c>
      <c r="I664" s="248" t="s">
        <v>514</v>
      </c>
      <c r="J664" s="248" t="s">
        <v>297</v>
      </c>
      <c r="K664" s="249" t="s">
        <v>1473</v>
      </c>
      <c r="L664" s="257" t="s">
        <v>516</v>
      </c>
      <c r="M664" s="249"/>
      <c r="N664" s="249"/>
      <c r="O664" s="249"/>
      <c r="P664" s="249"/>
      <c r="Q664" s="249"/>
      <c r="R664" s="249"/>
      <c r="S664" s="249"/>
      <c r="T664" s="249"/>
      <c r="U664" s="249"/>
      <c r="V664" s="249"/>
    </row>
    <row r="665">
      <c r="A665" s="255" t="s">
        <v>1474</v>
      </c>
      <c r="B665" s="248" t="s">
        <v>727</v>
      </c>
      <c r="C665" s="248" t="s">
        <v>658</v>
      </c>
      <c r="D665" s="248" t="s">
        <v>520</v>
      </c>
      <c r="E665" s="248">
        <v>1.4782887E7</v>
      </c>
      <c r="F665" s="256">
        <v>45236.0</v>
      </c>
      <c r="G665" s="248">
        <v>2023.0</v>
      </c>
      <c r="H665" s="248" t="s">
        <v>513</v>
      </c>
      <c r="I665" s="248" t="s">
        <v>514</v>
      </c>
      <c r="J665" s="248" t="s">
        <v>309</v>
      </c>
      <c r="K665" s="249" t="s">
        <v>1475</v>
      </c>
      <c r="L665" s="257" t="s">
        <v>516</v>
      </c>
      <c r="M665" s="249"/>
      <c r="N665" s="249"/>
      <c r="O665" s="249"/>
      <c r="P665" s="249"/>
      <c r="Q665" s="249"/>
      <c r="R665" s="249"/>
      <c r="S665" s="249"/>
      <c r="T665" s="249"/>
      <c r="U665" s="249"/>
      <c r="V665" s="249"/>
    </row>
    <row r="666">
      <c r="A666" s="255" t="s">
        <v>1476</v>
      </c>
      <c r="B666" s="248" t="s">
        <v>564</v>
      </c>
      <c r="C666" s="248" t="s">
        <v>565</v>
      </c>
      <c r="D666" s="248" t="s">
        <v>520</v>
      </c>
      <c r="E666" s="248">
        <v>164796.0</v>
      </c>
      <c r="F666" s="256">
        <v>45234.0</v>
      </c>
      <c r="G666" s="248">
        <v>2023.0</v>
      </c>
      <c r="H666" s="248" t="s">
        <v>513</v>
      </c>
      <c r="I666" s="248" t="s">
        <v>514</v>
      </c>
      <c r="J666" s="248" t="s">
        <v>309</v>
      </c>
      <c r="K666" s="249" t="s">
        <v>1477</v>
      </c>
      <c r="L666" s="257" t="s">
        <v>516</v>
      </c>
      <c r="M666" s="249"/>
      <c r="N666" s="249"/>
      <c r="O666" s="249"/>
      <c r="P666" s="249"/>
      <c r="Q666" s="249"/>
      <c r="R666" s="249"/>
      <c r="S666" s="249"/>
      <c r="T666" s="249"/>
      <c r="U666" s="249"/>
      <c r="V666" s="249"/>
    </row>
    <row r="667">
      <c r="A667" s="255" t="s">
        <v>1478</v>
      </c>
      <c r="B667" s="248" t="s">
        <v>641</v>
      </c>
      <c r="C667" s="248" t="s">
        <v>633</v>
      </c>
      <c r="D667" s="248" t="s">
        <v>512</v>
      </c>
      <c r="E667" s="248">
        <v>1152.0</v>
      </c>
      <c r="F667" s="256">
        <v>45233.0</v>
      </c>
      <c r="G667" s="248">
        <v>2023.0</v>
      </c>
      <c r="H667" s="248" t="s">
        <v>546</v>
      </c>
      <c r="I667" s="248" t="s">
        <v>514</v>
      </c>
      <c r="J667" s="248" t="s">
        <v>297</v>
      </c>
      <c r="K667" s="249" t="s">
        <v>1479</v>
      </c>
      <c r="L667" s="257" t="s">
        <v>516</v>
      </c>
      <c r="M667" s="249"/>
      <c r="N667" s="249"/>
      <c r="O667" s="249"/>
      <c r="P667" s="249"/>
      <c r="Q667" s="249"/>
      <c r="R667" s="249"/>
      <c r="S667" s="249"/>
      <c r="T667" s="249"/>
      <c r="U667" s="249"/>
      <c r="V667" s="249"/>
    </row>
    <row r="668">
      <c r="A668" s="255" t="s">
        <v>1480</v>
      </c>
      <c r="B668" s="248" t="s">
        <v>530</v>
      </c>
      <c r="C668" s="248" t="s">
        <v>531</v>
      </c>
      <c r="D668" s="248" t="s">
        <v>512</v>
      </c>
      <c r="E668" s="248">
        <v>845441.0</v>
      </c>
      <c r="F668" s="256">
        <v>45233.0</v>
      </c>
      <c r="G668" s="248">
        <v>2023.0</v>
      </c>
      <c r="H668" s="248" t="s">
        <v>513</v>
      </c>
      <c r="I668" s="248" t="s">
        <v>514</v>
      </c>
      <c r="J668" s="248" t="s">
        <v>309</v>
      </c>
      <c r="K668" s="249" t="s">
        <v>1481</v>
      </c>
      <c r="L668" s="257" t="s">
        <v>516</v>
      </c>
      <c r="M668" s="249"/>
      <c r="N668" s="249"/>
      <c r="O668" s="249"/>
      <c r="P668" s="249"/>
      <c r="Q668" s="249"/>
      <c r="R668" s="249"/>
      <c r="S668" s="249"/>
      <c r="T668" s="249"/>
      <c r="U668" s="249"/>
      <c r="V668" s="249"/>
    </row>
    <row r="669">
      <c r="A669" s="255" t="s">
        <v>1482</v>
      </c>
      <c r="B669" s="248" t="s">
        <v>698</v>
      </c>
      <c r="C669" s="248" t="s">
        <v>699</v>
      </c>
      <c r="D669" s="248" t="s">
        <v>520</v>
      </c>
      <c r="E669" s="248">
        <v>9302588.0</v>
      </c>
      <c r="F669" s="256">
        <v>45233.0</v>
      </c>
      <c r="G669" s="248">
        <v>2023.0</v>
      </c>
      <c r="H669" s="248" t="s">
        <v>513</v>
      </c>
      <c r="I669" s="248" t="s">
        <v>514</v>
      </c>
      <c r="J669" s="248" t="s">
        <v>309</v>
      </c>
      <c r="K669" s="249" t="s">
        <v>1483</v>
      </c>
      <c r="L669" s="257" t="s">
        <v>516</v>
      </c>
      <c r="M669" s="249"/>
      <c r="N669" s="249"/>
      <c r="O669" s="249"/>
      <c r="P669" s="249"/>
      <c r="Q669" s="249"/>
      <c r="R669" s="249"/>
      <c r="S669" s="249"/>
      <c r="T669" s="249"/>
      <c r="U669" s="249"/>
      <c r="V669" s="249"/>
    </row>
    <row r="670">
      <c r="A670" s="255" t="s">
        <v>1484</v>
      </c>
      <c r="B670" s="248" t="s">
        <v>573</v>
      </c>
      <c r="C670" s="248" t="s">
        <v>574</v>
      </c>
      <c r="D670" s="248" t="s">
        <v>512</v>
      </c>
      <c r="E670" s="248">
        <v>13000.0</v>
      </c>
      <c r="F670" s="256">
        <v>45233.0</v>
      </c>
      <c r="G670" s="248">
        <v>2023.0</v>
      </c>
      <c r="H670" s="248" t="s">
        <v>513</v>
      </c>
      <c r="I670" s="248" t="s">
        <v>514</v>
      </c>
      <c r="J670" s="248" t="s">
        <v>297</v>
      </c>
      <c r="K670" s="249" t="s">
        <v>1485</v>
      </c>
      <c r="L670" s="257" t="s">
        <v>516</v>
      </c>
      <c r="M670" s="249"/>
      <c r="N670" s="249"/>
      <c r="O670" s="249"/>
      <c r="P670" s="249"/>
      <c r="Q670" s="249"/>
      <c r="R670" s="249"/>
      <c r="S670" s="249"/>
      <c r="T670" s="249"/>
      <c r="U670" s="249"/>
      <c r="V670" s="249"/>
    </row>
    <row r="671">
      <c r="A671" s="255" t="s">
        <v>1486</v>
      </c>
      <c r="B671" s="248" t="s">
        <v>530</v>
      </c>
      <c r="C671" s="248" t="s">
        <v>531</v>
      </c>
      <c r="D671" s="248" t="s">
        <v>512</v>
      </c>
      <c r="E671" s="248">
        <v>5832.0</v>
      </c>
      <c r="F671" s="256">
        <v>45233.0</v>
      </c>
      <c r="G671" s="248">
        <v>2023.0</v>
      </c>
      <c r="H671" s="248" t="s">
        <v>513</v>
      </c>
      <c r="I671" s="248" t="s">
        <v>521</v>
      </c>
      <c r="J671" s="248" t="s">
        <v>297</v>
      </c>
      <c r="K671" s="249" t="s">
        <v>1487</v>
      </c>
      <c r="L671" s="257" t="s">
        <v>516</v>
      </c>
      <c r="M671" s="249"/>
      <c r="N671" s="249"/>
      <c r="O671" s="249"/>
      <c r="P671" s="249"/>
      <c r="Q671" s="249"/>
      <c r="R671" s="249"/>
      <c r="S671" s="249"/>
      <c r="T671" s="249"/>
      <c r="U671" s="249"/>
      <c r="V671" s="249"/>
    </row>
    <row r="672">
      <c r="A672" s="255" t="s">
        <v>1488</v>
      </c>
      <c r="B672" s="248" t="s">
        <v>530</v>
      </c>
      <c r="C672" s="248" t="s">
        <v>531</v>
      </c>
      <c r="D672" s="248" t="s">
        <v>512</v>
      </c>
      <c r="E672" s="248">
        <v>2033.0</v>
      </c>
      <c r="F672" s="256">
        <v>45233.0</v>
      </c>
      <c r="G672" s="248">
        <v>2023.0</v>
      </c>
      <c r="H672" s="248" t="s">
        <v>513</v>
      </c>
      <c r="I672" s="248" t="s">
        <v>514</v>
      </c>
      <c r="J672" s="248" t="s">
        <v>297</v>
      </c>
      <c r="K672" s="249" t="s">
        <v>1489</v>
      </c>
      <c r="L672" s="257" t="s">
        <v>516</v>
      </c>
      <c r="M672" s="249"/>
      <c r="N672" s="249"/>
      <c r="O672" s="249"/>
      <c r="P672" s="249"/>
      <c r="Q672" s="249"/>
      <c r="R672" s="249"/>
      <c r="S672" s="249"/>
      <c r="T672" s="249"/>
      <c r="U672" s="249"/>
      <c r="V672" s="249"/>
    </row>
    <row r="673">
      <c r="A673" s="255" t="s">
        <v>1490</v>
      </c>
      <c r="B673" s="248" t="s">
        <v>727</v>
      </c>
      <c r="C673" s="248" t="s">
        <v>658</v>
      </c>
      <c r="D673" s="248" t="s">
        <v>512</v>
      </c>
      <c r="E673" s="248">
        <v>27800.0</v>
      </c>
      <c r="F673" s="256">
        <v>45226.0</v>
      </c>
      <c r="G673" s="248">
        <v>2023.0</v>
      </c>
      <c r="H673" s="248" t="s">
        <v>513</v>
      </c>
      <c r="I673" s="248" t="s">
        <v>514</v>
      </c>
      <c r="J673" s="248" t="s">
        <v>297</v>
      </c>
      <c r="K673" s="249" t="s">
        <v>1491</v>
      </c>
      <c r="L673" s="257" t="s">
        <v>516</v>
      </c>
      <c r="M673" s="249"/>
      <c r="N673" s="249"/>
      <c r="O673" s="249"/>
      <c r="P673" s="249"/>
      <c r="Q673" s="249"/>
      <c r="R673" s="249"/>
      <c r="S673" s="249"/>
      <c r="T673" s="249"/>
      <c r="U673" s="249"/>
      <c r="V673" s="249"/>
    </row>
    <row r="674">
      <c r="A674" s="255" t="s">
        <v>1492</v>
      </c>
      <c r="B674" s="248" t="s">
        <v>1039</v>
      </c>
      <c r="C674" s="248" t="s">
        <v>686</v>
      </c>
      <c r="D674" s="248" t="s">
        <v>520</v>
      </c>
      <c r="E674" s="248">
        <v>13862.0</v>
      </c>
      <c r="F674" s="256">
        <v>45226.0</v>
      </c>
      <c r="G674" s="248">
        <v>2023.0</v>
      </c>
      <c r="H674" s="248" t="s">
        <v>513</v>
      </c>
      <c r="I674" s="248" t="s">
        <v>514</v>
      </c>
      <c r="J674" s="248" t="s">
        <v>309</v>
      </c>
      <c r="K674" s="249" t="s">
        <v>1493</v>
      </c>
      <c r="L674" s="257" t="s">
        <v>516</v>
      </c>
      <c r="M674" s="249"/>
      <c r="N674" s="249"/>
      <c r="O674" s="249"/>
      <c r="P674" s="249"/>
      <c r="Q674" s="249"/>
      <c r="R674" s="249"/>
      <c r="S674" s="249"/>
      <c r="T674" s="249"/>
      <c r="U674" s="249"/>
      <c r="V674" s="249"/>
    </row>
    <row r="675">
      <c r="A675" s="255" t="s">
        <v>1494</v>
      </c>
      <c r="B675" s="248" t="s">
        <v>573</v>
      </c>
      <c r="C675" s="248" t="s">
        <v>574</v>
      </c>
      <c r="D675" s="248" t="s">
        <v>512</v>
      </c>
      <c r="E675" s="248">
        <v>279156.0</v>
      </c>
      <c r="F675" s="256">
        <v>45225.0</v>
      </c>
      <c r="G675" s="248">
        <v>2023.0</v>
      </c>
      <c r="H675" s="248" t="s">
        <v>513</v>
      </c>
      <c r="I675" s="248" t="s">
        <v>514</v>
      </c>
      <c r="J675" s="248" t="s">
        <v>297</v>
      </c>
      <c r="K675" s="249" t="s">
        <v>1495</v>
      </c>
      <c r="L675" s="257" t="s">
        <v>516</v>
      </c>
      <c r="M675" s="249"/>
      <c r="N675" s="249"/>
      <c r="O675" s="249"/>
      <c r="P675" s="249"/>
      <c r="Q675" s="249"/>
      <c r="R675" s="249"/>
      <c r="S675" s="249"/>
      <c r="T675" s="249"/>
      <c r="U675" s="249"/>
      <c r="V675" s="249"/>
    </row>
    <row r="676">
      <c r="A676" s="255" t="s">
        <v>1496</v>
      </c>
      <c r="B676" s="248" t="s">
        <v>1039</v>
      </c>
      <c r="C676" s="248" t="s">
        <v>686</v>
      </c>
      <c r="D676" s="248" t="s">
        <v>512</v>
      </c>
      <c r="E676" s="248">
        <v>350863.0</v>
      </c>
      <c r="F676" s="256">
        <v>45225.0</v>
      </c>
      <c r="G676" s="248">
        <v>2023.0</v>
      </c>
      <c r="H676" s="248" t="s">
        <v>513</v>
      </c>
      <c r="I676" s="248" t="s">
        <v>514</v>
      </c>
      <c r="J676" s="248" t="s">
        <v>297</v>
      </c>
      <c r="K676" s="249" t="s">
        <v>1497</v>
      </c>
      <c r="L676" s="257" t="s">
        <v>516</v>
      </c>
      <c r="M676" s="249"/>
      <c r="N676" s="249"/>
      <c r="O676" s="249"/>
      <c r="P676" s="249"/>
      <c r="Q676" s="249"/>
      <c r="R676" s="249"/>
      <c r="S676" s="249"/>
      <c r="T676" s="249"/>
      <c r="U676" s="249"/>
      <c r="V676" s="249"/>
    </row>
    <row r="677">
      <c r="A677" s="255" t="s">
        <v>1498</v>
      </c>
      <c r="B677" s="248" t="s">
        <v>845</v>
      </c>
      <c r="C677" s="248" t="s">
        <v>733</v>
      </c>
      <c r="D677" s="248" t="s">
        <v>512</v>
      </c>
      <c r="E677" s="248">
        <v>14912.0</v>
      </c>
      <c r="F677" s="256">
        <v>45224.0</v>
      </c>
      <c r="G677" s="248">
        <v>2023.0</v>
      </c>
      <c r="H677" s="248" t="s">
        <v>513</v>
      </c>
      <c r="I677" s="248" t="s">
        <v>514</v>
      </c>
      <c r="J677" s="248" t="s">
        <v>297</v>
      </c>
      <c r="K677" s="249" t="s">
        <v>1499</v>
      </c>
      <c r="L677" s="257" t="s">
        <v>516</v>
      </c>
      <c r="M677" s="249"/>
      <c r="N677" s="249"/>
      <c r="O677" s="249"/>
      <c r="P677" s="249"/>
      <c r="Q677" s="249"/>
      <c r="R677" s="249"/>
      <c r="S677" s="249"/>
      <c r="T677" s="249"/>
      <c r="U677" s="249"/>
      <c r="V677" s="249"/>
    </row>
    <row r="678">
      <c r="A678" s="255" t="s">
        <v>1500</v>
      </c>
      <c r="B678" s="248" t="s">
        <v>542</v>
      </c>
      <c r="C678" s="248" t="s">
        <v>543</v>
      </c>
      <c r="D678" s="248" t="s">
        <v>512</v>
      </c>
      <c r="E678" s="248">
        <v>6684.0</v>
      </c>
      <c r="F678" s="256">
        <v>45224.0</v>
      </c>
      <c r="G678" s="248">
        <v>2023.0</v>
      </c>
      <c r="H678" s="248" t="s">
        <v>513</v>
      </c>
      <c r="I678" s="248" t="s">
        <v>514</v>
      </c>
      <c r="J678" s="248" t="s">
        <v>297</v>
      </c>
      <c r="K678" s="249" t="s">
        <v>1501</v>
      </c>
      <c r="L678" s="257" t="s">
        <v>516</v>
      </c>
      <c r="M678" s="249"/>
      <c r="N678" s="249"/>
      <c r="O678" s="249"/>
      <c r="P678" s="249"/>
      <c r="Q678" s="249"/>
      <c r="R678" s="249"/>
      <c r="S678" s="249"/>
      <c r="T678" s="249"/>
      <c r="U678" s="249"/>
      <c r="V678" s="249"/>
    </row>
    <row r="679">
      <c r="A679" s="255" t="s">
        <v>1502</v>
      </c>
      <c r="B679" s="248" t="s">
        <v>641</v>
      </c>
      <c r="C679" s="248" t="s">
        <v>633</v>
      </c>
      <c r="D679" s="248" t="s">
        <v>512</v>
      </c>
      <c r="E679" s="248">
        <v>767670.0</v>
      </c>
      <c r="F679" s="256">
        <v>45223.0</v>
      </c>
      <c r="G679" s="248">
        <v>2023.0</v>
      </c>
      <c r="H679" s="248" t="s">
        <v>513</v>
      </c>
      <c r="I679" s="248" t="s">
        <v>514</v>
      </c>
      <c r="J679" s="248" t="s">
        <v>297</v>
      </c>
      <c r="K679" s="249" t="s">
        <v>1503</v>
      </c>
      <c r="L679" s="257" t="s">
        <v>516</v>
      </c>
      <c r="M679" s="249"/>
      <c r="N679" s="249"/>
      <c r="O679" s="249"/>
      <c r="P679" s="249"/>
      <c r="Q679" s="249"/>
      <c r="R679" s="249"/>
      <c r="S679" s="249"/>
      <c r="T679" s="249"/>
      <c r="U679" s="249"/>
      <c r="V679" s="249"/>
    </row>
    <row r="680">
      <c r="A680" s="255" t="s">
        <v>1504</v>
      </c>
      <c r="B680" s="248" t="s">
        <v>1070</v>
      </c>
      <c r="C680" s="248" t="s">
        <v>652</v>
      </c>
      <c r="D680" s="248" t="s">
        <v>520</v>
      </c>
      <c r="E680" s="248">
        <v>2187.0</v>
      </c>
      <c r="F680" s="256">
        <v>45223.0</v>
      </c>
      <c r="G680" s="248">
        <v>2023.0</v>
      </c>
      <c r="H680" s="248" t="s">
        <v>546</v>
      </c>
      <c r="I680" s="248" t="s">
        <v>547</v>
      </c>
      <c r="J680" s="248" t="s">
        <v>309</v>
      </c>
      <c r="K680" s="249" t="s">
        <v>1505</v>
      </c>
      <c r="L680" s="257" t="s">
        <v>516</v>
      </c>
      <c r="M680" s="249"/>
      <c r="N680" s="249"/>
      <c r="O680" s="249"/>
      <c r="P680" s="249"/>
      <c r="Q680" s="249"/>
      <c r="R680" s="249"/>
      <c r="S680" s="249"/>
      <c r="T680" s="249"/>
      <c r="U680" s="249"/>
      <c r="V680" s="249"/>
    </row>
    <row r="681">
      <c r="A681" s="255" t="s">
        <v>1506</v>
      </c>
      <c r="B681" s="248" t="s">
        <v>850</v>
      </c>
      <c r="C681" s="248" t="s">
        <v>723</v>
      </c>
      <c r="D681" s="248" t="s">
        <v>512</v>
      </c>
      <c r="E681" s="248">
        <v>107143.0</v>
      </c>
      <c r="F681" s="256">
        <v>45222.0</v>
      </c>
      <c r="G681" s="248">
        <v>2023.0</v>
      </c>
      <c r="H681" s="248" t="s">
        <v>513</v>
      </c>
      <c r="I681" s="248" t="s">
        <v>514</v>
      </c>
      <c r="J681" s="248" t="s">
        <v>297</v>
      </c>
      <c r="K681" s="249" t="s">
        <v>1507</v>
      </c>
      <c r="L681" s="257" t="s">
        <v>516</v>
      </c>
      <c r="M681" s="249"/>
      <c r="N681" s="249"/>
      <c r="O681" s="249"/>
      <c r="P681" s="249"/>
      <c r="Q681" s="249"/>
      <c r="R681" s="249"/>
      <c r="S681" s="249"/>
      <c r="T681" s="249"/>
      <c r="U681" s="249"/>
      <c r="V681" s="249"/>
    </row>
    <row r="682">
      <c r="A682" s="255" t="s">
        <v>1508</v>
      </c>
      <c r="B682" s="248" t="s">
        <v>595</v>
      </c>
      <c r="C682" s="248" t="s">
        <v>596</v>
      </c>
      <c r="D682" s="248" t="s">
        <v>512</v>
      </c>
      <c r="E682" s="248">
        <v>2044.0</v>
      </c>
      <c r="F682" s="256">
        <v>45219.0</v>
      </c>
      <c r="G682" s="248">
        <v>2023.0</v>
      </c>
      <c r="H682" s="248" t="s">
        <v>513</v>
      </c>
      <c r="I682" s="248" t="s">
        <v>514</v>
      </c>
      <c r="J682" s="248" t="s">
        <v>297</v>
      </c>
      <c r="K682" s="249" t="s">
        <v>1509</v>
      </c>
      <c r="L682" s="257" t="s">
        <v>516</v>
      </c>
      <c r="M682" s="249"/>
      <c r="N682" s="249"/>
      <c r="O682" s="249"/>
      <c r="P682" s="249"/>
      <c r="Q682" s="249"/>
      <c r="R682" s="249"/>
      <c r="S682" s="249"/>
      <c r="T682" s="249"/>
      <c r="U682" s="249"/>
      <c r="V682" s="249"/>
    </row>
    <row r="683">
      <c r="A683" s="255" t="s">
        <v>1510</v>
      </c>
      <c r="B683" s="248" t="s">
        <v>688</v>
      </c>
      <c r="C683" s="248" t="s">
        <v>683</v>
      </c>
      <c r="D683" s="248" t="s">
        <v>520</v>
      </c>
      <c r="E683" s="248">
        <v>135742.0</v>
      </c>
      <c r="F683" s="256">
        <v>45218.0</v>
      </c>
      <c r="G683" s="248">
        <v>2023.0</v>
      </c>
      <c r="H683" s="248" t="s">
        <v>513</v>
      </c>
      <c r="I683" s="248" t="s">
        <v>514</v>
      </c>
      <c r="J683" s="248" t="s">
        <v>309</v>
      </c>
      <c r="K683" s="249" t="s">
        <v>1511</v>
      </c>
      <c r="L683" s="257" t="s">
        <v>516</v>
      </c>
      <c r="M683" s="249"/>
      <c r="N683" s="249"/>
      <c r="O683" s="249"/>
      <c r="P683" s="249"/>
      <c r="Q683" s="249"/>
      <c r="R683" s="249"/>
      <c r="S683" s="249"/>
      <c r="T683" s="249"/>
      <c r="U683" s="249"/>
      <c r="V683" s="249"/>
    </row>
    <row r="684">
      <c r="A684" s="255" t="s">
        <v>1512</v>
      </c>
      <c r="B684" s="248" t="s">
        <v>721</v>
      </c>
      <c r="C684" s="248" t="s">
        <v>649</v>
      </c>
      <c r="D684" s="248" t="s">
        <v>512</v>
      </c>
      <c r="E684" s="248">
        <v>3365.0</v>
      </c>
      <c r="F684" s="256">
        <v>45218.0</v>
      </c>
      <c r="G684" s="248">
        <v>2023.0</v>
      </c>
      <c r="H684" s="248" t="s">
        <v>513</v>
      </c>
      <c r="I684" s="248" t="s">
        <v>521</v>
      </c>
      <c r="J684" s="248" t="s">
        <v>297</v>
      </c>
      <c r="K684" s="249" t="s">
        <v>1513</v>
      </c>
      <c r="L684" s="257" t="s">
        <v>516</v>
      </c>
      <c r="M684" s="249"/>
      <c r="N684" s="249"/>
      <c r="O684" s="249"/>
      <c r="P684" s="249"/>
      <c r="Q684" s="249"/>
      <c r="R684" s="249"/>
      <c r="S684" s="249"/>
      <c r="T684" s="249"/>
      <c r="U684" s="249"/>
      <c r="V684" s="249"/>
    </row>
    <row r="685">
      <c r="A685" s="255" t="s">
        <v>1514</v>
      </c>
      <c r="B685" s="248" t="s">
        <v>573</v>
      </c>
      <c r="C685" s="248" t="s">
        <v>574</v>
      </c>
      <c r="D685" s="248" t="s">
        <v>575</v>
      </c>
      <c r="E685" s="248">
        <v>1399.0</v>
      </c>
      <c r="F685" s="256">
        <v>45218.0</v>
      </c>
      <c r="G685" s="248">
        <v>2023.0</v>
      </c>
      <c r="H685" s="248" t="s">
        <v>513</v>
      </c>
      <c r="I685" s="248" t="s">
        <v>514</v>
      </c>
      <c r="J685" s="248" t="s">
        <v>297</v>
      </c>
      <c r="K685" s="249" t="s">
        <v>1515</v>
      </c>
      <c r="L685" s="257" t="s">
        <v>516</v>
      </c>
      <c r="M685" s="249"/>
      <c r="N685" s="249"/>
      <c r="O685" s="249"/>
      <c r="P685" s="249"/>
      <c r="Q685" s="249"/>
      <c r="R685" s="249"/>
      <c r="S685" s="249"/>
      <c r="T685" s="249"/>
      <c r="U685" s="249"/>
      <c r="V685" s="249"/>
    </row>
    <row r="686">
      <c r="A686" s="255" t="s">
        <v>1516</v>
      </c>
      <c r="B686" s="248" t="s">
        <v>534</v>
      </c>
      <c r="C686" s="248" t="s">
        <v>535</v>
      </c>
      <c r="D686" s="248" t="s">
        <v>512</v>
      </c>
      <c r="E686" s="248">
        <v>10831.0</v>
      </c>
      <c r="F686" s="256">
        <v>45212.0</v>
      </c>
      <c r="G686" s="248">
        <v>2023.0</v>
      </c>
      <c r="H686" s="248" t="s">
        <v>513</v>
      </c>
      <c r="I686" s="248" t="s">
        <v>514</v>
      </c>
      <c r="J686" s="248" t="s">
        <v>297</v>
      </c>
      <c r="K686" s="249" t="s">
        <v>1517</v>
      </c>
      <c r="L686" s="257" t="s">
        <v>516</v>
      </c>
      <c r="M686" s="249"/>
      <c r="N686" s="249"/>
      <c r="O686" s="249"/>
      <c r="P686" s="249"/>
      <c r="Q686" s="249"/>
      <c r="R686" s="249"/>
      <c r="S686" s="249"/>
      <c r="T686" s="249"/>
      <c r="U686" s="249"/>
      <c r="V686" s="249"/>
    </row>
    <row r="687">
      <c r="A687" s="255" t="s">
        <v>1518</v>
      </c>
      <c r="B687" s="248" t="s">
        <v>564</v>
      </c>
      <c r="C687" s="248" t="s">
        <v>565</v>
      </c>
      <c r="D687" s="248" t="s">
        <v>520</v>
      </c>
      <c r="E687" s="248">
        <v>1744655.0</v>
      </c>
      <c r="F687" s="256">
        <v>45209.0</v>
      </c>
      <c r="G687" s="248">
        <v>2023.0</v>
      </c>
      <c r="H687" s="248" t="s">
        <v>513</v>
      </c>
      <c r="I687" s="248" t="s">
        <v>514</v>
      </c>
      <c r="J687" s="248" t="s">
        <v>309</v>
      </c>
      <c r="K687" s="249" t="s">
        <v>1519</v>
      </c>
      <c r="L687" s="257" t="s">
        <v>516</v>
      </c>
      <c r="M687" s="249"/>
      <c r="N687" s="249"/>
      <c r="O687" s="249"/>
      <c r="P687" s="249"/>
      <c r="Q687" s="249"/>
      <c r="R687" s="249"/>
      <c r="S687" s="249"/>
      <c r="T687" s="249"/>
      <c r="U687" s="249"/>
      <c r="V687" s="249"/>
    </row>
    <row r="688">
      <c r="A688" s="255" t="s">
        <v>1520</v>
      </c>
      <c r="B688" s="248" t="s">
        <v>679</v>
      </c>
      <c r="C688" s="248" t="s">
        <v>663</v>
      </c>
      <c r="D688" s="248" t="s">
        <v>512</v>
      </c>
      <c r="E688" s="248">
        <v>1857.0</v>
      </c>
      <c r="F688" s="256">
        <v>45209.0</v>
      </c>
      <c r="G688" s="248">
        <v>2023.0</v>
      </c>
      <c r="H688" s="248" t="s">
        <v>513</v>
      </c>
      <c r="I688" s="248" t="s">
        <v>521</v>
      </c>
      <c r="J688" s="248" t="s">
        <v>297</v>
      </c>
      <c r="K688" s="249" t="s">
        <v>1521</v>
      </c>
      <c r="L688" s="257" t="s">
        <v>516</v>
      </c>
      <c r="M688" s="249"/>
      <c r="N688" s="249"/>
      <c r="O688" s="249"/>
      <c r="P688" s="249"/>
      <c r="Q688" s="249"/>
      <c r="R688" s="249"/>
      <c r="S688" s="249"/>
      <c r="T688" s="249"/>
      <c r="U688" s="249"/>
      <c r="V688" s="249"/>
    </row>
    <row r="689">
      <c r="A689" s="255" t="s">
        <v>1522</v>
      </c>
      <c r="B689" s="248" t="s">
        <v>564</v>
      </c>
      <c r="C689" s="248" t="s">
        <v>565</v>
      </c>
      <c r="D689" s="248" t="s">
        <v>520</v>
      </c>
      <c r="E689" s="248">
        <v>2035.0</v>
      </c>
      <c r="F689" s="256">
        <v>45208.0</v>
      </c>
      <c r="G689" s="248">
        <v>2023.0</v>
      </c>
      <c r="H689" s="248" t="s">
        <v>546</v>
      </c>
      <c r="I689" s="248" t="s">
        <v>547</v>
      </c>
      <c r="J689" s="248" t="s">
        <v>309</v>
      </c>
      <c r="K689" s="249" t="s">
        <v>1519</v>
      </c>
      <c r="L689" s="257" t="s">
        <v>516</v>
      </c>
      <c r="M689" s="249"/>
      <c r="N689" s="249"/>
      <c r="O689" s="249"/>
      <c r="P689" s="249"/>
      <c r="Q689" s="249"/>
      <c r="R689" s="249"/>
      <c r="S689" s="249"/>
      <c r="T689" s="249"/>
      <c r="U689" s="249"/>
      <c r="V689" s="249"/>
    </row>
    <row r="690">
      <c r="A690" s="255" t="s">
        <v>1523</v>
      </c>
      <c r="B690" s="248" t="s">
        <v>573</v>
      </c>
      <c r="C690" s="248" t="s">
        <v>574</v>
      </c>
      <c r="D690" s="248" t="s">
        <v>512</v>
      </c>
      <c r="E690" s="248">
        <v>48459.0</v>
      </c>
      <c r="F690" s="256">
        <v>45205.0</v>
      </c>
      <c r="G690" s="248">
        <v>2023.0</v>
      </c>
      <c r="H690" s="248" t="s">
        <v>513</v>
      </c>
      <c r="I690" s="248" t="s">
        <v>514</v>
      </c>
      <c r="J690" s="248" t="s">
        <v>297</v>
      </c>
      <c r="K690" s="249" t="s">
        <v>1524</v>
      </c>
      <c r="L690" s="257" t="s">
        <v>516</v>
      </c>
      <c r="M690" s="249"/>
      <c r="N690" s="249"/>
      <c r="O690" s="249"/>
      <c r="P690" s="249"/>
      <c r="Q690" s="249"/>
      <c r="R690" s="249"/>
      <c r="S690" s="249"/>
      <c r="T690" s="249"/>
      <c r="U690" s="249"/>
      <c r="V690" s="249"/>
    </row>
    <row r="691">
      <c r="A691" s="255" t="s">
        <v>1525</v>
      </c>
      <c r="B691" s="248" t="s">
        <v>679</v>
      </c>
      <c r="C691" s="248" t="s">
        <v>663</v>
      </c>
      <c r="D691" s="248" t="s">
        <v>512</v>
      </c>
      <c r="E691" s="248">
        <v>1599.0</v>
      </c>
      <c r="F691" s="256">
        <v>45204.0</v>
      </c>
      <c r="G691" s="248">
        <v>2023.0</v>
      </c>
      <c r="H691" s="248" t="s">
        <v>546</v>
      </c>
      <c r="I691" s="248" t="s">
        <v>521</v>
      </c>
      <c r="J691" s="248" t="s">
        <v>297</v>
      </c>
      <c r="K691" s="249" t="s">
        <v>1526</v>
      </c>
      <c r="L691" s="257" t="s">
        <v>516</v>
      </c>
      <c r="M691" s="249"/>
      <c r="N691" s="249"/>
      <c r="O691" s="249"/>
      <c r="P691" s="249"/>
      <c r="Q691" s="249"/>
      <c r="R691" s="249"/>
      <c r="S691" s="249"/>
      <c r="T691" s="249"/>
      <c r="U691" s="249"/>
      <c r="V691" s="249"/>
    </row>
    <row r="692">
      <c r="A692" s="255" t="s">
        <v>1527</v>
      </c>
      <c r="B692" s="248" t="s">
        <v>542</v>
      </c>
      <c r="C692" s="248" t="s">
        <v>543</v>
      </c>
      <c r="D692" s="248" t="s">
        <v>520</v>
      </c>
      <c r="E692" s="248">
        <v>5200.0</v>
      </c>
      <c r="F692" s="256">
        <v>45204.0</v>
      </c>
      <c r="G692" s="248">
        <v>2023.0</v>
      </c>
      <c r="H692" s="248" t="s">
        <v>546</v>
      </c>
      <c r="I692" s="248" t="s">
        <v>547</v>
      </c>
      <c r="J692" s="248" t="s">
        <v>309</v>
      </c>
      <c r="K692" s="249" t="s">
        <v>1528</v>
      </c>
      <c r="L692" s="257" t="s">
        <v>516</v>
      </c>
      <c r="M692" s="249"/>
      <c r="N692" s="249"/>
      <c r="O692" s="249"/>
      <c r="P692" s="249"/>
      <c r="Q692" s="249"/>
      <c r="R692" s="249"/>
      <c r="S692" s="249"/>
      <c r="T692" s="249"/>
      <c r="U692" s="249"/>
      <c r="V692" s="249"/>
    </row>
    <row r="693">
      <c r="A693" s="255" t="s">
        <v>1529</v>
      </c>
      <c r="B693" s="248" t="s">
        <v>553</v>
      </c>
      <c r="C693" s="248" t="s">
        <v>554</v>
      </c>
      <c r="D693" s="248" t="s">
        <v>575</v>
      </c>
      <c r="E693" s="248">
        <v>85952.0</v>
      </c>
      <c r="F693" s="256">
        <v>45203.0</v>
      </c>
      <c r="G693" s="248">
        <v>2023.0</v>
      </c>
      <c r="H693" s="248" t="s">
        <v>513</v>
      </c>
      <c r="I693" s="248" t="s">
        <v>514</v>
      </c>
      <c r="J693" s="248" t="s">
        <v>309</v>
      </c>
      <c r="K693" s="249" t="s">
        <v>1530</v>
      </c>
      <c r="L693" s="257" t="s">
        <v>516</v>
      </c>
      <c r="M693" s="249"/>
      <c r="N693" s="249"/>
      <c r="O693" s="249"/>
      <c r="P693" s="249"/>
      <c r="Q693" s="249"/>
      <c r="R693" s="249"/>
      <c r="S693" s="249"/>
      <c r="T693" s="249"/>
      <c r="U693" s="249"/>
      <c r="V693" s="249"/>
    </row>
    <row r="694">
      <c r="A694" s="255" t="s">
        <v>1531</v>
      </c>
      <c r="B694" s="248" t="s">
        <v>679</v>
      </c>
      <c r="C694" s="248" t="s">
        <v>663</v>
      </c>
      <c r="D694" s="248" t="s">
        <v>512</v>
      </c>
      <c r="E694" s="248">
        <v>7300.0</v>
      </c>
      <c r="F694" s="256">
        <v>45201.0</v>
      </c>
      <c r="G694" s="248">
        <v>2023.0</v>
      </c>
      <c r="H694" s="248" t="s">
        <v>513</v>
      </c>
      <c r="I694" s="248" t="s">
        <v>514</v>
      </c>
      <c r="J694" s="248" t="s">
        <v>297</v>
      </c>
      <c r="K694" s="249" t="s">
        <v>1532</v>
      </c>
      <c r="L694" s="257" t="s">
        <v>516</v>
      </c>
      <c r="M694" s="249"/>
      <c r="N694" s="249"/>
      <c r="O694" s="249"/>
      <c r="P694" s="249"/>
      <c r="Q694" s="249"/>
      <c r="R694" s="249"/>
      <c r="S694" s="249"/>
      <c r="T694" s="249"/>
      <c r="U694" s="249"/>
      <c r="V694" s="249"/>
    </row>
    <row r="695">
      <c r="A695" s="255" t="s">
        <v>1533</v>
      </c>
      <c r="B695" s="248" t="s">
        <v>530</v>
      </c>
      <c r="C695" s="248" t="s">
        <v>531</v>
      </c>
      <c r="D695" s="248" t="s">
        <v>520</v>
      </c>
      <c r="E695" s="248">
        <v>1309096.0</v>
      </c>
      <c r="F695" s="256">
        <v>45198.0</v>
      </c>
      <c r="G695" s="248">
        <v>2023.0</v>
      </c>
      <c r="H695" s="248" t="s">
        <v>513</v>
      </c>
      <c r="I695" s="248" t="s">
        <v>514</v>
      </c>
      <c r="J695" s="248" t="s">
        <v>309</v>
      </c>
      <c r="K695" s="249" t="s">
        <v>1534</v>
      </c>
      <c r="L695" s="257" t="s">
        <v>516</v>
      </c>
      <c r="M695" s="249"/>
      <c r="N695" s="249"/>
      <c r="O695" s="249"/>
      <c r="P695" s="249"/>
      <c r="Q695" s="249"/>
      <c r="R695" s="249"/>
      <c r="S695" s="249"/>
      <c r="T695" s="249"/>
      <c r="U695" s="249"/>
      <c r="V695" s="249"/>
    </row>
    <row r="696">
      <c r="A696" s="255" t="s">
        <v>1535</v>
      </c>
      <c r="B696" s="248" t="s">
        <v>530</v>
      </c>
      <c r="C696" s="248" t="s">
        <v>531</v>
      </c>
      <c r="D696" s="248" t="s">
        <v>520</v>
      </c>
      <c r="E696" s="248">
        <v>126679.0</v>
      </c>
      <c r="F696" s="256">
        <v>45198.0</v>
      </c>
      <c r="G696" s="248">
        <v>2023.0</v>
      </c>
      <c r="H696" s="248" t="s">
        <v>513</v>
      </c>
      <c r="I696" s="248" t="s">
        <v>514</v>
      </c>
      <c r="J696" s="248" t="s">
        <v>309</v>
      </c>
      <c r="K696" s="249" t="s">
        <v>1536</v>
      </c>
      <c r="L696" s="257" t="s">
        <v>516</v>
      </c>
      <c r="M696" s="249"/>
      <c r="N696" s="249"/>
      <c r="O696" s="249"/>
      <c r="P696" s="249"/>
      <c r="Q696" s="249"/>
      <c r="R696" s="249"/>
      <c r="S696" s="249"/>
      <c r="T696" s="249"/>
      <c r="U696" s="249"/>
      <c r="V696" s="249"/>
    </row>
    <row r="697">
      <c r="A697" s="255" t="s">
        <v>1537</v>
      </c>
      <c r="B697" s="248" t="s">
        <v>924</v>
      </c>
      <c r="C697" s="248" t="s">
        <v>725</v>
      </c>
      <c r="D697" s="248" t="s">
        <v>512</v>
      </c>
      <c r="E697" s="248">
        <v>1586.0</v>
      </c>
      <c r="F697" s="256">
        <v>45198.0</v>
      </c>
      <c r="G697" s="248">
        <v>2023.0</v>
      </c>
      <c r="H697" s="248" t="s">
        <v>513</v>
      </c>
      <c r="I697" s="248" t="s">
        <v>521</v>
      </c>
      <c r="J697" s="248" t="s">
        <v>297</v>
      </c>
      <c r="K697" s="249" t="s">
        <v>1538</v>
      </c>
      <c r="L697" s="257" t="s">
        <v>516</v>
      </c>
      <c r="M697" s="249"/>
      <c r="N697" s="249"/>
      <c r="O697" s="249"/>
      <c r="P697" s="249"/>
      <c r="Q697" s="249"/>
      <c r="R697" s="249"/>
      <c r="S697" s="249"/>
      <c r="T697" s="249"/>
      <c r="U697" s="249"/>
      <c r="V697" s="249"/>
    </row>
    <row r="698">
      <c r="A698" s="255" t="s">
        <v>1539</v>
      </c>
      <c r="B698" s="248" t="s">
        <v>518</v>
      </c>
      <c r="C698" s="248" t="s">
        <v>519</v>
      </c>
      <c r="D698" s="248" t="s">
        <v>512</v>
      </c>
      <c r="E698" s="248">
        <v>35688.0</v>
      </c>
      <c r="F698" s="256">
        <v>45198.0</v>
      </c>
      <c r="G698" s="248">
        <v>2023.0</v>
      </c>
      <c r="H698" s="248" t="s">
        <v>513</v>
      </c>
      <c r="I698" s="248" t="s">
        <v>514</v>
      </c>
      <c r="J698" s="248" t="s">
        <v>297</v>
      </c>
      <c r="K698" s="249" t="s">
        <v>1540</v>
      </c>
      <c r="L698" s="257" t="s">
        <v>516</v>
      </c>
      <c r="M698" s="249"/>
      <c r="N698" s="249"/>
      <c r="O698" s="249"/>
      <c r="P698" s="249"/>
      <c r="Q698" s="249"/>
      <c r="R698" s="249"/>
      <c r="S698" s="249"/>
      <c r="T698" s="249"/>
      <c r="U698" s="249"/>
      <c r="V698" s="249"/>
    </row>
    <row r="699">
      <c r="A699" s="255" t="s">
        <v>1541</v>
      </c>
      <c r="B699" s="248" t="s">
        <v>679</v>
      </c>
      <c r="C699" s="248" t="s">
        <v>663</v>
      </c>
      <c r="D699" s="248" t="s">
        <v>512</v>
      </c>
      <c r="E699" s="248">
        <v>37774.0</v>
      </c>
      <c r="F699" s="256">
        <v>45198.0</v>
      </c>
      <c r="G699" s="248">
        <v>2023.0</v>
      </c>
      <c r="H699" s="248" t="s">
        <v>513</v>
      </c>
      <c r="I699" s="248" t="s">
        <v>521</v>
      </c>
      <c r="J699" s="248" t="s">
        <v>297</v>
      </c>
      <c r="K699" s="249" t="s">
        <v>1542</v>
      </c>
      <c r="L699" s="257" t="s">
        <v>516</v>
      </c>
      <c r="M699" s="249"/>
      <c r="N699" s="249"/>
      <c r="O699" s="249"/>
      <c r="P699" s="249"/>
      <c r="Q699" s="249"/>
      <c r="R699" s="249"/>
      <c r="S699" s="249"/>
      <c r="T699" s="249"/>
      <c r="U699" s="249"/>
      <c r="V699" s="249"/>
    </row>
    <row r="700">
      <c r="A700" s="255" t="s">
        <v>1543</v>
      </c>
      <c r="B700" s="248" t="s">
        <v>679</v>
      </c>
      <c r="C700" s="248" t="s">
        <v>663</v>
      </c>
      <c r="D700" s="248" t="s">
        <v>512</v>
      </c>
      <c r="E700" s="248">
        <v>143833.0</v>
      </c>
      <c r="F700" s="256">
        <v>45198.0</v>
      </c>
      <c r="G700" s="248">
        <v>2023.0</v>
      </c>
      <c r="H700" s="248" t="s">
        <v>513</v>
      </c>
      <c r="I700" s="248" t="s">
        <v>521</v>
      </c>
      <c r="J700" s="248" t="s">
        <v>297</v>
      </c>
      <c r="K700" s="249" t="s">
        <v>1544</v>
      </c>
      <c r="L700" s="257" t="s">
        <v>516</v>
      </c>
      <c r="M700" s="249"/>
      <c r="N700" s="249"/>
      <c r="O700" s="249"/>
      <c r="P700" s="249"/>
      <c r="Q700" s="249"/>
      <c r="R700" s="249"/>
      <c r="S700" s="249"/>
      <c r="T700" s="249"/>
      <c r="U700" s="249"/>
      <c r="V700" s="249"/>
    </row>
    <row r="701">
      <c r="A701" s="255" t="s">
        <v>1545</v>
      </c>
      <c r="B701" s="248" t="s">
        <v>542</v>
      </c>
      <c r="C701" s="248" t="s">
        <v>543</v>
      </c>
      <c r="D701" s="248" t="s">
        <v>520</v>
      </c>
      <c r="E701" s="248">
        <v>258126.0</v>
      </c>
      <c r="F701" s="256">
        <v>45198.0</v>
      </c>
      <c r="G701" s="248">
        <v>2023.0</v>
      </c>
      <c r="H701" s="248" t="s">
        <v>513</v>
      </c>
      <c r="I701" s="248" t="s">
        <v>514</v>
      </c>
      <c r="J701" s="248" t="s">
        <v>309</v>
      </c>
      <c r="K701" s="249" t="s">
        <v>1546</v>
      </c>
      <c r="L701" s="257" t="s">
        <v>516</v>
      </c>
      <c r="M701" s="249"/>
      <c r="N701" s="249"/>
      <c r="O701" s="249"/>
      <c r="P701" s="249"/>
      <c r="Q701" s="249"/>
      <c r="R701" s="249"/>
      <c r="S701" s="249"/>
      <c r="T701" s="249"/>
      <c r="U701" s="249"/>
      <c r="V701" s="249"/>
    </row>
    <row r="702">
      <c r="A702" s="255" t="s">
        <v>1198</v>
      </c>
      <c r="B702" s="248" t="s">
        <v>815</v>
      </c>
      <c r="C702" s="248" t="s">
        <v>728</v>
      </c>
      <c r="D702" s="248" t="s">
        <v>512</v>
      </c>
      <c r="E702" s="248">
        <v>7664.0</v>
      </c>
      <c r="F702" s="256">
        <v>45195.0</v>
      </c>
      <c r="G702" s="248">
        <v>2023.0</v>
      </c>
      <c r="H702" s="248" t="s">
        <v>513</v>
      </c>
      <c r="I702" s="248" t="s">
        <v>521</v>
      </c>
      <c r="J702" s="248" t="s">
        <v>297</v>
      </c>
      <c r="K702" s="249" t="s">
        <v>1547</v>
      </c>
      <c r="L702" s="257" t="s">
        <v>516</v>
      </c>
      <c r="M702" s="249"/>
      <c r="N702" s="249"/>
      <c r="O702" s="249"/>
      <c r="P702" s="249"/>
      <c r="Q702" s="249"/>
      <c r="R702" s="249"/>
      <c r="S702" s="249"/>
      <c r="T702" s="249"/>
      <c r="U702" s="249"/>
      <c r="V702" s="249"/>
    </row>
    <row r="703">
      <c r="A703" s="255" t="s">
        <v>1548</v>
      </c>
      <c r="B703" s="248" t="s">
        <v>586</v>
      </c>
      <c r="C703" s="248" t="s">
        <v>587</v>
      </c>
      <c r="D703" s="248" t="s">
        <v>512</v>
      </c>
      <c r="E703" s="248">
        <v>1248546.0</v>
      </c>
      <c r="F703" s="256">
        <v>45193.0</v>
      </c>
      <c r="G703" s="248">
        <v>2023.0</v>
      </c>
      <c r="H703" s="248" t="s">
        <v>513</v>
      </c>
      <c r="I703" s="248" t="s">
        <v>514</v>
      </c>
      <c r="J703" s="248" t="s">
        <v>309</v>
      </c>
      <c r="K703" s="249" t="s">
        <v>1549</v>
      </c>
      <c r="L703" s="257" t="s">
        <v>516</v>
      </c>
      <c r="M703" s="249"/>
      <c r="N703" s="249"/>
      <c r="O703" s="249"/>
      <c r="P703" s="249"/>
      <c r="Q703" s="249"/>
      <c r="R703" s="249"/>
      <c r="S703" s="249"/>
      <c r="T703" s="249"/>
      <c r="U703" s="249"/>
      <c r="V703" s="249"/>
    </row>
    <row r="704">
      <c r="A704" s="255" t="s">
        <v>1550</v>
      </c>
      <c r="B704" s="248" t="s">
        <v>1399</v>
      </c>
      <c r="C704" s="248" t="s">
        <v>764</v>
      </c>
      <c r="D704" s="248" t="s">
        <v>512</v>
      </c>
      <c r="E704" s="248">
        <v>176203.0</v>
      </c>
      <c r="F704" s="256">
        <v>45191.0</v>
      </c>
      <c r="G704" s="248">
        <v>2023.0</v>
      </c>
      <c r="H704" s="248" t="s">
        <v>513</v>
      </c>
      <c r="I704" s="248" t="s">
        <v>514</v>
      </c>
      <c r="J704" s="248" t="s">
        <v>297</v>
      </c>
      <c r="K704" s="249" t="s">
        <v>1551</v>
      </c>
      <c r="L704" s="257" t="s">
        <v>516</v>
      </c>
      <c r="M704" s="249"/>
      <c r="N704" s="249"/>
      <c r="O704" s="249"/>
      <c r="P704" s="249"/>
      <c r="Q704" s="249"/>
      <c r="R704" s="249"/>
      <c r="S704" s="249"/>
      <c r="T704" s="249"/>
      <c r="U704" s="249"/>
      <c r="V704" s="249"/>
    </row>
    <row r="705">
      <c r="A705" s="255" t="s">
        <v>1552</v>
      </c>
      <c r="B705" s="248" t="s">
        <v>688</v>
      </c>
      <c r="C705" s="248" t="s">
        <v>683</v>
      </c>
      <c r="D705" s="248" t="s">
        <v>520</v>
      </c>
      <c r="E705" s="248">
        <v>1505.0</v>
      </c>
      <c r="F705" s="256">
        <v>45191.0</v>
      </c>
      <c r="G705" s="248">
        <v>2023.0</v>
      </c>
      <c r="H705" s="248" t="s">
        <v>513</v>
      </c>
      <c r="I705" s="248" t="s">
        <v>514</v>
      </c>
      <c r="J705" s="248" t="s">
        <v>309</v>
      </c>
      <c r="K705" s="249" t="s">
        <v>1553</v>
      </c>
      <c r="L705" s="257" t="s">
        <v>516</v>
      </c>
      <c r="M705" s="249"/>
      <c r="N705" s="249"/>
      <c r="O705" s="249"/>
      <c r="P705" s="249"/>
      <c r="Q705" s="249"/>
      <c r="R705" s="249"/>
      <c r="S705" s="249"/>
      <c r="T705" s="249"/>
      <c r="U705" s="249"/>
      <c r="V705" s="249"/>
    </row>
    <row r="706">
      <c r="A706" s="255" t="s">
        <v>1554</v>
      </c>
      <c r="B706" s="248" t="s">
        <v>586</v>
      </c>
      <c r="C706" s="248" t="s">
        <v>587</v>
      </c>
      <c r="D706" s="248" t="s">
        <v>520</v>
      </c>
      <c r="E706" s="248">
        <v>3708.0</v>
      </c>
      <c r="F706" s="256">
        <v>45191.0</v>
      </c>
      <c r="G706" s="248">
        <v>2023.0</v>
      </c>
      <c r="H706" s="248" t="s">
        <v>546</v>
      </c>
      <c r="I706" s="248" t="s">
        <v>547</v>
      </c>
      <c r="J706" s="248" t="s">
        <v>309</v>
      </c>
      <c r="K706" s="249" t="s">
        <v>1555</v>
      </c>
      <c r="L706" s="257" t="s">
        <v>516</v>
      </c>
      <c r="M706" s="249"/>
      <c r="N706" s="249"/>
      <c r="O706" s="249"/>
      <c r="P706" s="249"/>
      <c r="Q706" s="249"/>
      <c r="R706" s="249"/>
      <c r="S706" s="249"/>
      <c r="T706" s="249"/>
      <c r="U706" s="249"/>
      <c r="V706" s="249"/>
    </row>
    <row r="707">
      <c r="A707" s="255" t="s">
        <v>1556</v>
      </c>
      <c r="B707" s="248" t="s">
        <v>578</v>
      </c>
      <c r="C707" s="248" t="s">
        <v>579</v>
      </c>
      <c r="D707" s="248" t="s">
        <v>575</v>
      </c>
      <c r="E707" s="248">
        <v>2834.0</v>
      </c>
      <c r="F707" s="256">
        <v>45191.0</v>
      </c>
      <c r="G707" s="248">
        <v>2023.0</v>
      </c>
      <c r="H707" s="248" t="s">
        <v>546</v>
      </c>
      <c r="I707" s="248" t="s">
        <v>514</v>
      </c>
      <c r="J707" s="248" t="s">
        <v>297</v>
      </c>
      <c r="K707" s="249" t="s">
        <v>1557</v>
      </c>
      <c r="L707" s="257" t="s">
        <v>516</v>
      </c>
      <c r="M707" s="249"/>
      <c r="N707" s="249"/>
      <c r="O707" s="249"/>
      <c r="P707" s="249"/>
      <c r="Q707" s="249"/>
      <c r="R707" s="249"/>
      <c r="S707" s="249"/>
      <c r="T707" s="249"/>
      <c r="U707" s="249"/>
      <c r="V707" s="249"/>
    </row>
    <row r="708">
      <c r="A708" s="255" t="s">
        <v>1558</v>
      </c>
      <c r="B708" s="248" t="s">
        <v>538</v>
      </c>
      <c r="C708" s="248" t="s">
        <v>539</v>
      </c>
      <c r="D708" s="248" t="s">
        <v>512</v>
      </c>
      <c r="E708" s="248">
        <v>4194.0</v>
      </c>
      <c r="F708" s="256">
        <v>45191.0</v>
      </c>
      <c r="G708" s="248">
        <v>2023.0</v>
      </c>
      <c r="H708" s="248" t="s">
        <v>513</v>
      </c>
      <c r="I708" s="248" t="s">
        <v>514</v>
      </c>
      <c r="J708" s="248" t="s">
        <v>309</v>
      </c>
      <c r="K708" s="249" t="s">
        <v>1559</v>
      </c>
      <c r="L708" s="257" t="s">
        <v>516</v>
      </c>
      <c r="M708" s="249"/>
      <c r="N708" s="249"/>
      <c r="O708" s="249"/>
      <c r="P708" s="249"/>
      <c r="Q708" s="249"/>
      <c r="R708" s="249"/>
      <c r="S708" s="249"/>
      <c r="T708" s="249"/>
      <c r="U708" s="249"/>
      <c r="V708" s="249"/>
    </row>
    <row r="709">
      <c r="A709" s="255" t="s">
        <v>1560</v>
      </c>
      <c r="B709" s="248" t="s">
        <v>679</v>
      </c>
      <c r="C709" s="248" t="s">
        <v>663</v>
      </c>
      <c r="D709" s="248" t="s">
        <v>520</v>
      </c>
      <c r="E709" s="248">
        <v>5364.0</v>
      </c>
      <c r="F709" s="256">
        <v>45189.0</v>
      </c>
      <c r="G709" s="248">
        <v>2023.0</v>
      </c>
      <c r="H709" s="248" t="s">
        <v>546</v>
      </c>
      <c r="I709" s="248" t="s">
        <v>547</v>
      </c>
      <c r="J709" s="248" t="s">
        <v>309</v>
      </c>
      <c r="K709" s="249" t="s">
        <v>1561</v>
      </c>
      <c r="L709" s="257" t="s">
        <v>516</v>
      </c>
      <c r="M709" s="249"/>
      <c r="N709" s="249"/>
      <c r="O709" s="249"/>
      <c r="P709" s="249"/>
      <c r="Q709" s="249"/>
      <c r="R709" s="249"/>
      <c r="S709" s="249"/>
      <c r="T709" s="249"/>
      <c r="U709" s="249"/>
      <c r="V709" s="249"/>
    </row>
    <row r="710">
      <c r="A710" s="255" t="s">
        <v>1562</v>
      </c>
      <c r="B710" s="248" t="s">
        <v>845</v>
      </c>
      <c r="C710" s="248" t="s">
        <v>733</v>
      </c>
      <c r="D710" s="248" t="s">
        <v>575</v>
      </c>
      <c r="E710" s="248">
        <v>1229333.0</v>
      </c>
      <c r="F710" s="256">
        <v>45187.0</v>
      </c>
      <c r="G710" s="248">
        <v>2023.0</v>
      </c>
      <c r="H710" s="248" t="s">
        <v>513</v>
      </c>
      <c r="I710" s="248" t="s">
        <v>514</v>
      </c>
      <c r="J710" s="248" t="s">
        <v>309</v>
      </c>
      <c r="K710" s="249" t="s">
        <v>1563</v>
      </c>
      <c r="L710" s="257" t="s">
        <v>516</v>
      </c>
      <c r="M710" s="249"/>
      <c r="N710" s="249"/>
      <c r="O710" s="249"/>
      <c r="P710" s="249"/>
      <c r="Q710" s="249"/>
      <c r="R710" s="249"/>
      <c r="S710" s="249"/>
      <c r="T710" s="249"/>
      <c r="U710" s="249"/>
      <c r="V710" s="249"/>
    </row>
    <row r="711">
      <c r="A711" s="255" t="s">
        <v>1564</v>
      </c>
      <c r="B711" s="248" t="s">
        <v>590</v>
      </c>
      <c r="C711" s="248" t="s">
        <v>591</v>
      </c>
      <c r="D711" s="248" t="s">
        <v>520</v>
      </c>
      <c r="E711" s="248">
        <v>1225054.0</v>
      </c>
      <c r="F711" s="256">
        <v>45184.0</v>
      </c>
      <c r="G711" s="248">
        <v>2023.0</v>
      </c>
      <c r="H711" s="248" t="s">
        <v>513</v>
      </c>
      <c r="I711" s="248" t="s">
        <v>514</v>
      </c>
      <c r="J711" s="248" t="s">
        <v>309</v>
      </c>
      <c r="K711" s="249" t="s">
        <v>1565</v>
      </c>
      <c r="L711" s="257" t="s">
        <v>516</v>
      </c>
      <c r="M711" s="249"/>
      <c r="N711" s="249"/>
      <c r="O711" s="249"/>
      <c r="P711" s="249"/>
      <c r="Q711" s="249"/>
      <c r="R711" s="249"/>
      <c r="S711" s="249"/>
      <c r="T711" s="249"/>
      <c r="U711" s="249"/>
      <c r="V711" s="249"/>
    </row>
    <row r="712">
      <c r="A712" s="255" t="s">
        <v>1566</v>
      </c>
      <c r="B712" s="248" t="s">
        <v>530</v>
      </c>
      <c r="C712" s="248" t="s">
        <v>531</v>
      </c>
      <c r="D712" s="248" t="s">
        <v>512</v>
      </c>
      <c r="E712" s="248">
        <v>284629.0</v>
      </c>
      <c r="F712" s="256">
        <v>45184.0</v>
      </c>
      <c r="G712" s="248">
        <v>2023.0</v>
      </c>
      <c r="H712" s="248" t="s">
        <v>513</v>
      </c>
      <c r="I712" s="248" t="s">
        <v>514</v>
      </c>
      <c r="J712" s="248" t="s">
        <v>297</v>
      </c>
      <c r="K712" s="249" t="s">
        <v>1567</v>
      </c>
      <c r="L712" s="257" t="s">
        <v>516</v>
      </c>
      <c r="M712" s="249"/>
      <c r="N712" s="249"/>
      <c r="O712" s="249"/>
      <c r="P712" s="249"/>
      <c r="Q712" s="249"/>
      <c r="R712" s="249"/>
      <c r="S712" s="249"/>
      <c r="T712" s="249"/>
      <c r="U712" s="249"/>
      <c r="V712" s="249"/>
    </row>
    <row r="713">
      <c r="A713" s="255" t="s">
        <v>1568</v>
      </c>
      <c r="B713" s="248" t="s">
        <v>688</v>
      </c>
      <c r="C713" s="248" t="s">
        <v>683</v>
      </c>
      <c r="D713" s="248" t="s">
        <v>512</v>
      </c>
      <c r="E713" s="248">
        <v>431563.0</v>
      </c>
      <c r="F713" s="256">
        <v>45184.0</v>
      </c>
      <c r="G713" s="248">
        <v>2023.0</v>
      </c>
      <c r="H713" s="248" t="s">
        <v>513</v>
      </c>
      <c r="I713" s="248" t="s">
        <v>514</v>
      </c>
      <c r="J713" s="248" t="s">
        <v>309</v>
      </c>
      <c r="K713" s="249" t="s">
        <v>1569</v>
      </c>
      <c r="L713" s="257" t="s">
        <v>516</v>
      </c>
      <c r="M713" s="249"/>
      <c r="N713" s="249"/>
      <c r="O713" s="249"/>
      <c r="P713" s="249"/>
      <c r="Q713" s="249"/>
      <c r="R713" s="249"/>
      <c r="S713" s="249"/>
      <c r="T713" s="249"/>
      <c r="U713" s="249"/>
      <c r="V713" s="249"/>
    </row>
    <row r="714">
      <c r="A714" s="255" t="s">
        <v>1570</v>
      </c>
      <c r="B714" s="248" t="s">
        <v>679</v>
      </c>
      <c r="C714" s="248" t="s">
        <v>663</v>
      </c>
      <c r="D714" s="248" t="s">
        <v>512</v>
      </c>
      <c r="E714" s="248">
        <v>30836.0</v>
      </c>
      <c r="F714" s="256">
        <v>45184.0</v>
      </c>
      <c r="G714" s="248">
        <v>2023.0</v>
      </c>
      <c r="H714" s="248" t="s">
        <v>513</v>
      </c>
      <c r="I714" s="248" t="s">
        <v>521</v>
      </c>
      <c r="J714" s="248" t="s">
        <v>297</v>
      </c>
      <c r="K714" s="249" t="s">
        <v>66</v>
      </c>
      <c r="L714" s="257" t="s">
        <v>516</v>
      </c>
      <c r="M714" s="249"/>
      <c r="N714" s="249"/>
      <c r="O714" s="249"/>
      <c r="P714" s="249"/>
      <c r="Q714" s="249"/>
      <c r="R714" s="249"/>
      <c r="S714" s="249"/>
      <c r="T714" s="249"/>
      <c r="U714" s="249"/>
      <c r="V714" s="249"/>
    </row>
    <row r="715">
      <c r="A715" s="255" t="s">
        <v>1571</v>
      </c>
      <c r="B715" s="248" t="s">
        <v>564</v>
      </c>
      <c r="C715" s="248" t="s">
        <v>565</v>
      </c>
      <c r="D715" s="248" t="s">
        <v>575</v>
      </c>
      <c r="E715" s="248">
        <v>1246.0</v>
      </c>
      <c r="F715" s="256">
        <v>45184.0</v>
      </c>
      <c r="G715" s="248">
        <v>2023.0</v>
      </c>
      <c r="H715" s="248" t="s">
        <v>513</v>
      </c>
      <c r="I715" s="248" t="s">
        <v>514</v>
      </c>
      <c r="J715" s="248" t="s">
        <v>309</v>
      </c>
      <c r="K715" s="249" t="s">
        <v>1572</v>
      </c>
      <c r="L715" s="257" t="s">
        <v>516</v>
      </c>
      <c r="M715" s="249"/>
      <c r="N715" s="249"/>
      <c r="O715" s="249"/>
      <c r="P715" s="249"/>
      <c r="Q715" s="249"/>
      <c r="R715" s="249"/>
      <c r="S715" s="249"/>
      <c r="T715" s="249"/>
      <c r="U715" s="249"/>
      <c r="V715" s="249"/>
    </row>
    <row r="716">
      <c r="A716" s="255" t="s">
        <v>1573</v>
      </c>
      <c r="B716" s="248" t="s">
        <v>878</v>
      </c>
      <c r="C716" s="248" t="s">
        <v>643</v>
      </c>
      <c r="D716" s="248" t="s">
        <v>512</v>
      </c>
      <c r="E716" s="248">
        <v>2502.0</v>
      </c>
      <c r="F716" s="256">
        <v>45184.0</v>
      </c>
      <c r="G716" s="248">
        <v>2023.0</v>
      </c>
      <c r="H716" s="248" t="s">
        <v>546</v>
      </c>
      <c r="I716" s="248" t="s">
        <v>561</v>
      </c>
      <c r="J716" s="248" t="s">
        <v>297</v>
      </c>
      <c r="K716" s="249" t="s">
        <v>1574</v>
      </c>
      <c r="L716" s="257" t="s">
        <v>516</v>
      </c>
      <c r="M716" s="249"/>
      <c r="N716" s="249"/>
      <c r="O716" s="249"/>
      <c r="P716" s="249"/>
      <c r="Q716" s="249"/>
      <c r="R716" s="249"/>
      <c r="S716" s="249"/>
      <c r="T716" s="249"/>
      <c r="U716" s="249"/>
      <c r="V716" s="249"/>
    </row>
    <row r="717">
      <c r="A717" s="255" t="s">
        <v>1575</v>
      </c>
      <c r="B717" s="248" t="s">
        <v>595</v>
      </c>
      <c r="C717" s="248" t="s">
        <v>596</v>
      </c>
      <c r="D717" s="248" t="s">
        <v>512</v>
      </c>
      <c r="E717" s="248">
        <v>22115.0</v>
      </c>
      <c r="F717" s="256">
        <v>45176.0</v>
      </c>
      <c r="G717" s="248">
        <v>2023.0</v>
      </c>
      <c r="H717" s="248" t="s">
        <v>513</v>
      </c>
      <c r="I717" s="248" t="s">
        <v>514</v>
      </c>
      <c r="J717" s="248" t="s">
        <v>297</v>
      </c>
      <c r="K717" s="249" t="s">
        <v>1576</v>
      </c>
      <c r="L717" s="257" t="s">
        <v>516</v>
      </c>
      <c r="M717" s="249"/>
      <c r="N717" s="249"/>
      <c r="O717" s="249"/>
      <c r="P717" s="249"/>
      <c r="Q717" s="249"/>
      <c r="R717" s="249"/>
      <c r="S717" s="249"/>
      <c r="T717" s="249"/>
      <c r="U717" s="249"/>
      <c r="V717" s="249"/>
    </row>
    <row r="718">
      <c r="A718" s="255" t="s">
        <v>1577</v>
      </c>
      <c r="B718" s="248" t="s">
        <v>698</v>
      </c>
      <c r="C718" s="248" t="s">
        <v>699</v>
      </c>
      <c r="D718" s="248" t="s">
        <v>512</v>
      </c>
      <c r="E718" s="248">
        <v>4622.0</v>
      </c>
      <c r="F718" s="256">
        <v>45175.0</v>
      </c>
      <c r="G718" s="248">
        <v>2023.0</v>
      </c>
      <c r="H718" s="248" t="s">
        <v>513</v>
      </c>
      <c r="I718" s="248" t="s">
        <v>514</v>
      </c>
      <c r="J718" s="248" t="s">
        <v>297</v>
      </c>
      <c r="K718" s="249" t="s">
        <v>1578</v>
      </c>
      <c r="L718" s="257" t="s">
        <v>516</v>
      </c>
      <c r="M718" s="249"/>
      <c r="N718" s="249"/>
      <c r="O718" s="249"/>
      <c r="P718" s="249"/>
      <c r="Q718" s="249"/>
      <c r="R718" s="249"/>
      <c r="S718" s="249"/>
      <c r="T718" s="249"/>
      <c r="U718" s="249"/>
      <c r="V718" s="249"/>
    </row>
    <row r="719">
      <c r="A719" s="255" t="s">
        <v>1579</v>
      </c>
      <c r="B719" s="248" t="s">
        <v>611</v>
      </c>
      <c r="C719" s="248" t="s">
        <v>612</v>
      </c>
      <c r="D719" s="248" t="s">
        <v>512</v>
      </c>
      <c r="E719" s="248">
        <v>219707.0</v>
      </c>
      <c r="F719" s="256">
        <v>45174.0</v>
      </c>
      <c r="G719" s="248">
        <v>2023.0</v>
      </c>
      <c r="H719" s="248" t="s">
        <v>513</v>
      </c>
      <c r="I719" s="248" t="s">
        <v>514</v>
      </c>
      <c r="J719" s="248" t="s">
        <v>297</v>
      </c>
      <c r="K719" s="249" t="s">
        <v>1580</v>
      </c>
      <c r="L719" s="257" t="s">
        <v>516</v>
      </c>
      <c r="M719" s="249"/>
      <c r="N719" s="249"/>
      <c r="O719" s="249"/>
      <c r="P719" s="249"/>
      <c r="Q719" s="249"/>
      <c r="R719" s="249"/>
      <c r="S719" s="249"/>
      <c r="T719" s="249"/>
      <c r="U719" s="249"/>
      <c r="V719" s="249"/>
    </row>
    <row r="720">
      <c r="A720" s="255" t="s">
        <v>1581</v>
      </c>
      <c r="B720" s="248" t="s">
        <v>1039</v>
      </c>
      <c r="C720" s="248" t="s">
        <v>686</v>
      </c>
      <c r="D720" s="248" t="s">
        <v>512</v>
      </c>
      <c r="E720" s="248">
        <v>242986.0</v>
      </c>
      <c r="F720" s="256">
        <v>45174.0</v>
      </c>
      <c r="G720" s="248">
        <v>2023.0</v>
      </c>
      <c r="H720" s="248" t="s">
        <v>513</v>
      </c>
      <c r="I720" s="248" t="s">
        <v>514</v>
      </c>
      <c r="J720" s="248" t="s">
        <v>297</v>
      </c>
      <c r="K720" s="249" t="s">
        <v>1582</v>
      </c>
      <c r="L720" s="257" t="s">
        <v>516</v>
      </c>
      <c r="M720" s="249"/>
      <c r="N720" s="249"/>
      <c r="O720" s="249"/>
      <c r="P720" s="249"/>
      <c r="Q720" s="249"/>
      <c r="R720" s="249"/>
      <c r="S720" s="249"/>
      <c r="T720" s="249"/>
      <c r="U720" s="249"/>
      <c r="V720" s="249"/>
    </row>
    <row r="721">
      <c r="A721" s="255" t="s">
        <v>1307</v>
      </c>
      <c r="B721" s="248" t="s">
        <v>810</v>
      </c>
      <c r="C721" s="248" t="s">
        <v>655</v>
      </c>
      <c r="D721" s="248" t="s">
        <v>512</v>
      </c>
      <c r="E721" s="248">
        <v>1545.0</v>
      </c>
      <c r="F721" s="256">
        <v>45170.0</v>
      </c>
      <c r="G721" s="248">
        <v>2023.0</v>
      </c>
      <c r="H721" s="248" t="s">
        <v>513</v>
      </c>
      <c r="I721" s="248" t="s">
        <v>521</v>
      </c>
      <c r="J721" s="248" t="s">
        <v>297</v>
      </c>
      <c r="K721" s="249" t="s">
        <v>1583</v>
      </c>
      <c r="L721" s="257" t="s">
        <v>516</v>
      </c>
      <c r="M721" s="249"/>
      <c r="N721" s="249"/>
      <c r="O721" s="249"/>
      <c r="P721" s="249"/>
      <c r="Q721" s="249"/>
      <c r="R721" s="249"/>
      <c r="S721" s="249"/>
      <c r="T721" s="249"/>
      <c r="U721" s="249"/>
      <c r="V721" s="249"/>
    </row>
    <row r="722">
      <c r="A722" s="255" t="s">
        <v>1584</v>
      </c>
      <c r="B722" s="248" t="s">
        <v>590</v>
      </c>
      <c r="C722" s="248" t="s">
        <v>591</v>
      </c>
      <c r="D722" s="248" t="s">
        <v>512</v>
      </c>
      <c r="E722" s="248">
        <v>12146.0</v>
      </c>
      <c r="F722" s="256">
        <v>45170.0</v>
      </c>
      <c r="G722" s="248">
        <v>2023.0</v>
      </c>
      <c r="H722" s="248" t="s">
        <v>513</v>
      </c>
      <c r="I722" s="248" t="s">
        <v>514</v>
      </c>
      <c r="J722" s="248" t="s">
        <v>297</v>
      </c>
      <c r="K722" s="249" t="s">
        <v>1585</v>
      </c>
      <c r="L722" s="257" t="s">
        <v>516</v>
      </c>
      <c r="M722" s="249"/>
      <c r="N722" s="249"/>
      <c r="O722" s="249"/>
      <c r="P722" s="249"/>
      <c r="Q722" s="249"/>
      <c r="R722" s="249"/>
      <c r="S722" s="249"/>
      <c r="T722" s="249"/>
      <c r="U722" s="249"/>
      <c r="V722" s="249"/>
    </row>
    <row r="723">
      <c r="A723" s="255" t="s">
        <v>1586</v>
      </c>
      <c r="B723" s="248" t="s">
        <v>573</v>
      </c>
      <c r="C723" s="248" t="s">
        <v>574</v>
      </c>
      <c r="D723" s="248" t="s">
        <v>512</v>
      </c>
      <c r="E723" s="248">
        <v>1700.0</v>
      </c>
      <c r="F723" s="256">
        <v>45169.0</v>
      </c>
      <c r="G723" s="248">
        <v>2023.0</v>
      </c>
      <c r="H723" s="248" t="s">
        <v>513</v>
      </c>
      <c r="I723" s="248" t="s">
        <v>514</v>
      </c>
      <c r="J723" s="248" t="s">
        <v>297</v>
      </c>
      <c r="K723" s="249" t="s">
        <v>1587</v>
      </c>
      <c r="L723" s="257" t="s">
        <v>516</v>
      </c>
      <c r="M723" s="249"/>
      <c r="N723" s="249"/>
      <c r="O723" s="249"/>
      <c r="P723" s="249"/>
      <c r="Q723" s="249"/>
      <c r="R723" s="249"/>
      <c r="S723" s="249"/>
      <c r="T723" s="249"/>
      <c r="U723" s="249"/>
      <c r="V723" s="249"/>
    </row>
    <row r="724">
      <c r="A724" s="255" t="s">
        <v>1588</v>
      </c>
      <c r="B724" s="248" t="s">
        <v>590</v>
      </c>
      <c r="C724" s="248" t="s">
        <v>591</v>
      </c>
      <c r="D724" s="248" t="s">
        <v>512</v>
      </c>
      <c r="E724" s="248">
        <v>5139.0</v>
      </c>
      <c r="F724" s="256">
        <v>45169.0</v>
      </c>
      <c r="G724" s="248">
        <v>2023.0</v>
      </c>
      <c r="H724" s="248" t="s">
        <v>513</v>
      </c>
      <c r="I724" s="248" t="s">
        <v>928</v>
      </c>
      <c r="J724" s="248" t="s">
        <v>297</v>
      </c>
      <c r="K724" s="249" t="s">
        <v>1589</v>
      </c>
      <c r="L724" s="257" t="s">
        <v>516</v>
      </c>
      <c r="M724" s="249"/>
      <c r="N724" s="249"/>
      <c r="O724" s="249"/>
      <c r="P724" s="249"/>
      <c r="Q724" s="249"/>
      <c r="R724" s="249"/>
      <c r="S724" s="249"/>
      <c r="T724" s="249"/>
      <c r="U724" s="249"/>
      <c r="V724" s="249"/>
    </row>
    <row r="725">
      <c r="A725" s="255" t="s">
        <v>1558</v>
      </c>
      <c r="B725" s="248" t="s">
        <v>538</v>
      </c>
      <c r="C725" s="248" t="s">
        <v>539</v>
      </c>
      <c r="D725" s="248" t="s">
        <v>575</v>
      </c>
      <c r="E725" s="248">
        <v>1191.0</v>
      </c>
      <c r="F725" s="256">
        <v>45169.0</v>
      </c>
      <c r="G725" s="248">
        <v>2023.0</v>
      </c>
      <c r="H725" s="248" t="s">
        <v>513</v>
      </c>
      <c r="I725" s="248" t="s">
        <v>514</v>
      </c>
      <c r="J725" s="248" t="s">
        <v>309</v>
      </c>
      <c r="K725" s="249" t="s">
        <v>1590</v>
      </c>
      <c r="L725" s="257" t="s">
        <v>516</v>
      </c>
      <c r="M725" s="249"/>
      <c r="N725" s="249"/>
      <c r="O725" s="249"/>
      <c r="P725" s="249"/>
      <c r="Q725" s="249"/>
      <c r="R725" s="249"/>
      <c r="S725" s="249"/>
      <c r="T725" s="249"/>
      <c r="U725" s="249"/>
      <c r="V725" s="249"/>
    </row>
    <row r="726">
      <c r="A726" s="255" t="s">
        <v>1591</v>
      </c>
      <c r="B726" s="248" t="s">
        <v>727</v>
      </c>
      <c r="C726" s="248" t="s">
        <v>658</v>
      </c>
      <c r="D726" s="248" t="s">
        <v>520</v>
      </c>
      <c r="E726" s="248">
        <v>2953.0</v>
      </c>
      <c r="F726" s="256">
        <v>45168.0</v>
      </c>
      <c r="G726" s="248">
        <v>2023.0</v>
      </c>
      <c r="H726" s="248" t="s">
        <v>546</v>
      </c>
      <c r="I726" s="248" t="s">
        <v>514</v>
      </c>
      <c r="J726" s="248" t="s">
        <v>309</v>
      </c>
      <c r="K726" s="249" t="s">
        <v>1592</v>
      </c>
      <c r="L726" s="257" t="s">
        <v>516</v>
      </c>
      <c r="M726" s="249"/>
      <c r="N726" s="249"/>
      <c r="O726" s="249"/>
      <c r="P726" s="249"/>
      <c r="Q726" s="249"/>
      <c r="R726" s="249"/>
      <c r="S726" s="249"/>
      <c r="T726" s="249"/>
      <c r="U726" s="249"/>
      <c r="V726" s="249"/>
    </row>
    <row r="727">
      <c r="A727" s="255" t="s">
        <v>1593</v>
      </c>
      <c r="B727" s="248" t="s">
        <v>530</v>
      </c>
      <c r="C727" s="248" t="s">
        <v>531</v>
      </c>
      <c r="D727" s="248" t="s">
        <v>520</v>
      </c>
      <c r="E727" s="248">
        <v>1722.0</v>
      </c>
      <c r="F727" s="256">
        <v>45168.0</v>
      </c>
      <c r="G727" s="248">
        <v>2023.0</v>
      </c>
      <c r="H727" s="248" t="s">
        <v>546</v>
      </c>
      <c r="I727" s="248" t="s">
        <v>547</v>
      </c>
      <c r="J727" s="248" t="s">
        <v>309</v>
      </c>
      <c r="K727" s="249" t="s">
        <v>1594</v>
      </c>
      <c r="L727" s="257" t="s">
        <v>516</v>
      </c>
      <c r="M727" s="249"/>
      <c r="N727" s="249"/>
      <c r="O727" s="249"/>
      <c r="P727" s="249"/>
      <c r="Q727" s="249"/>
      <c r="R727" s="249"/>
      <c r="S727" s="249"/>
      <c r="T727" s="249"/>
      <c r="U727" s="249"/>
      <c r="V727" s="249"/>
    </row>
    <row r="728">
      <c r="A728" s="255" t="s">
        <v>1522</v>
      </c>
      <c r="B728" s="248" t="s">
        <v>564</v>
      </c>
      <c r="C728" s="248" t="s">
        <v>565</v>
      </c>
      <c r="D728" s="248" t="s">
        <v>520</v>
      </c>
      <c r="E728" s="248">
        <v>100644.0</v>
      </c>
      <c r="F728" s="256">
        <v>45162.0</v>
      </c>
      <c r="G728" s="248">
        <v>2023.0</v>
      </c>
      <c r="H728" s="248" t="s">
        <v>513</v>
      </c>
      <c r="I728" s="248" t="s">
        <v>514</v>
      </c>
      <c r="J728" s="248" t="s">
        <v>309</v>
      </c>
      <c r="K728" s="249" t="s">
        <v>1595</v>
      </c>
      <c r="L728" s="257" t="s">
        <v>516</v>
      </c>
      <c r="M728" s="249"/>
      <c r="N728" s="249"/>
      <c r="O728" s="249"/>
      <c r="P728" s="249"/>
      <c r="Q728" s="249"/>
      <c r="R728" s="249"/>
      <c r="S728" s="249"/>
      <c r="T728" s="249"/>
      <c r="U728" s="249"/>
      <c r="V728" s="249"/>
    </row>
    <row r="729">
      <c r="A729" s="255" t="s">
        <v>1596</v>
      </c>
      <c r="B729" s="248" t="s">
        <v>924</v>
      </c>
      <c r="C729" s="248" t="s">
        <v>725</v>
      </c>
      <c r="D729" s="248" t="s">
        <v>512</v>
      </c>
      <c r="E729" s="248">
        <v>1412.0</v>
      </c>
      <c r="F729" s="256">
        <v>45162.0</v>
      </c>
      <c r="G729" s="248">
        <v>2023.0</v>
      </c>
      <c r="H729" s="248" t="s">
        <v>513</v>
      </c>
      <c r="I729" s="248" t="s">
        <v>521</v>
      </c>
      <c r="J729" s="248" t="s">
        <v>297</v>
      </c>
      <c r="K729" s="249" t="s">
        <v>1597</v>
      </c>
      <c r="L729" s="257" t="s">
        <v>516</v>
      </c>
      <c r="M729" s="249"/>
      <c r="N729" s="249"/>
      <c r="O729" s="249"/>
      <c r="P729" s="249"/>
      <c r="Q729" s="249"/>
      <c r="R729" s="249"/>
      <c r="S729" s="249"/>
      <c r="T729" s="249"/>
      <c r="U729" s="249"/>
      <c r="V729" s="249"/>
    </row>
    <row r="730">
      <c r="A730" s="255" t="s">
        <v>1598</v>
      </c>
      <c r="B730" s="248" t="s">
        <v>1189</v>
      </c>
      <c r="C730" s="248" t="s">
        <v>666</v>
      </c>
      <c r="D730" s="248" t="s">
        <v>520</v>
      </c>
      <c r="E730" s="248">
        <v>74884.0</v>
      </c>
      <c r="F730" s="256">
        <v>45162.0</v>
      </c>
      <c r="G730" s="248">
        <v>2023.0</v>
      </c>
      <c r="H730" s="248" t="s">
        <v>546</v>
      </c>
      <c r="I730" s="248" t="s">
        <v>521</v>
      </c>
      <c r="J730" s="248" t="s">
        <v>309</v>
      </c>
      <c r="K730" s="249" t="s">
        <v>1599</v>
      </c>
      <c r="L730" s="257" t="s">
        <v>516</v>
      </c>
      <c r="M730" s="249"/>
      <c r="N730" s="249"/>
      <c r="O730" s="249"/>
      <c r="P730" s="249"/>
      <c r="Q730" s="249"/>
      <c r="R730" s="249"/>
      <c r="S730" s="249"/>
      <c r="T730" s="249"/>
      <c r="U730" s="249"/>
      <c r="V730" s="249"/>
    </row>
    <row r="731">
      <c r="A731" s="255" t="s">
        <v>1600</v>
      </c>
      <c r="B731" s="248" t="s">
        <v>564</v>
      </c>
      <c r="C731" s="248" t="s">
        <v>565</v>
      </c>
      <c r="D731" s="248" t="s">
        <v>512</v>
      </c>
      <c r="E731" s="248">
        <v>67336.0</v>
      </c>
      <c r="F731" s="256">
        <v>45161.0</v>
      </c>
      <c r="G731" s="248">
        <v>2023.0</v>
      </c>
      <c r="H731" s="248" t="s">
        <v>513</v>
      </c>
      <c r="I731" s="248" t="s">
        <v>514</v>
      </c>
      <c r="J731" s="248" t="s">
        <v>309</v>
      </c>
      <c r="K731" s="249" t="s">
        <v>1601</v>
      </c>
      <c r="L731" s="257" t="s">
        <v>516</v>
      </c>
      <c r="M731" s="249"/>
      <c r="N731" s="249"/>
      <c r="O731" s="249"/>
      <c r="P731" s="249"/>
      <c r="Q731" s="249"/>
      <c r="R731" s="249"/>
      <c r="S731" s="249"/>
      <c r="T731" s="249"/>
      <c r="U731" s="249"/>
      <c r="V731" s="249"/>
    </row>
    <row r="732">
      <c r="A732" s="255" t="s">
        <v>1602</v>
      </c>
      <c r="B732" s="248" t="s">
        <v>679</v>
      </c>
      <c r="C732" s="248" t="s">
        <v>663</v>
      </c>
      <c r="D732" s="248" t="s">
        <v>512</v>
      </c>
      <c r="E732" s="248">
        <v>1339.0</v>
      </c>
      <c r="F732" s="256">
        <v>45160.0</v>
      </c>
      <c r="G732" s="248">
        <v>2023.0</v>
      </c>
      <c r="H732" s="248" t="s">
        <v>513</v>
      </c>
      <c r="I732" s="248" t="s">
        <v>514</v>
      </c>
      <c r="J732" s="248" t="s">
        <v>297</v>
      </c>
      <c r="K732" s="249" t="s">
        <v>1603</v>
      </c>
      <c r="L732" s="257" t="s">
        <v>516</v>
      </c>
      <c r="M732" s="249"/>
      <c r="N732" s="249"/>
      <c r="O732" s="249"/>
      <c r="P732" s="249"/>
      <c r="Q732" s="249"/>
      <c r="R732" s="249"/>
      <c r="S732" s="249"/>
      <c r="T732" s="249"/>
      <c r="U732" s="249"/>
      <c r="V732" s="249"/>
    </row>
    <row r="733">
      <c r="A733" s="255" t="s">
        <v>1604</v>
      </c>
      <c r="B733" s="248" t="s">
        <v>845</v>
      </c>
      <c r="C733" s="248" t="s">
        <v>733</v>
      </c>
      <c r="D733" s="248" t="s">
        <v>575</v>
      </c>
      <c r="E733" s="248">
        <v>10140.0</v>
      </c>
      <c r="F733" s="256">
        <v>45160.0</v>
      </c>
      <c r="G733" s="248">
        <v>2023.0</v>
      </c>
      <c r="H733" s="248" t="s">
        <v>513</v>
      </c>
      <c r="I733" s="248" t="s">
        <v>514</v>
      </c>
      <c r="J733" s="248" t="s">
        <v>309</v>
      </c>
      <c r="K733" s="249" t="s">
        <v>1605</v>
      </c>
      <c r="L733" s="257" t="s">
        <v>516</v>
      </c>
      <c r="M733" s="249"/>
      <c r="N733" s="249"/>
      <c r="O733" s="249"/>
      <c r="P733" s="249"/>
      <c r="Q733" s="249"/>
      <c r="R733" s="249"/>
      <c r="S733" s="249"/>
      <c r="T733" s="249"/>
      <c r="U733" s="249"/>
      <c r="V733" s="249"/>
    </row>
    <row r="734">
      <c r="A734" s="255" t="s">
        <v>1606</v>
      </c>
      <c r="B734" s="248" t="s">
        <v>721</v>
      </c>
      <c r="C734" s="248" t="s">
        <v>649</v>
      </c>
      <c r="D734" s="248" t="s">
        <v>512</v>
      </c>
      <c r="E734" s="248">
        <v>37731.0</v>
      </c>
      <c r="F734" s="256">
        <v>45159.0</v>
      </c>
      <c r="G734" s="248">
        <v>2023.0</v>
      </c>
      <c r="H734" s="248" t="s">
        <v>513</v>
      </c>
      <c r="I734" s="248" t="s">
        <v>514</v>
      </c>
      <c r="J734" s="248" t="s">
        <v>297</v>
      </c>
      <c r="K734" s="249" t="s">
        <v>1607</v>
      </c>
      <c r="L734" s="257" t="s">
        <v>516</v>
      </c>
      <c r="M734" s="249"/>
      <c r="N734" s="249"/>
      <c r="O734" s="249"/>
      <c r="P734" s="249"/>
      <c r="Q734" s="249"/>
      <c r="R734" s="249"/>
      <c r="S734" s="249"/>
      <c r="T734" s="249"/>
      <c r="U734" s="249"/>
      <c r="V734" s="249"/>
    </row>
    <row r="735">
      <c r="A735" s="255" t="s">
        <v>1608</v>
      </c>
      <c r="B735" s="248" t="s">
        <v>590</v>
      </c>
      <c r="C735" s="248" t="s">
        <v>591</v>
      </c>
      <c r="D735" s="248" t="s">
        <v>520</v>
      </c>
      <c r="E735" s="248">
        <v>135394.0</v>
      </c>
      <c r="F735" s="256">
        <v>45159.0</v>
      </c>
      <c r="G735" s="248">
        <v>2023.0</v>
      </c>
      <c r="H735" s="248" t="s">
        <v>513</v>
      </c>
      <c r="I735" s="248" t="s">
        <v>514</v>
      </c>
      <c r="J735" s="248" t="s">
        <v>309</v>
      </c>
      <c r="K735" s="249" t="s">
        <v>1609</v>
      </c>
      <c r="L735" s="257" t="s">
        <v>516</v>
      </c>
      <c r="M735" s="249"/>
      <c r="N735" s="249"/>
      <c r="O735" s="249"/>
      <c r="P735" s="249"/>
      <c r="Q735" s="249"/>
      <c r="R735" s="249"/>
      <c r="S735" s="249"/>
      <c r="T735" s="249"/>
      <c r="U735" s="249"/>
      <c r="V735" s="249"/>
    </row>
    <row r="736">
      <c r="A736" s="255" t="s">
        <v>1610</v>
      </c>
      <c r="B736" s="248" t="s">
        <v>586</v>
      </c>
      <c r="C736" s="248" t="s">
        <v>587</v>
      </c>
      <c r="D736" s="248" t="s">
        <v>575</v>
      </c>
      <c r="E736" s="248">
        <v>220913.0</v>
      </c>
      <c r="F736" s="256">
        <v>45159.0</v>
      </c>
      <c r="G736" s="248">
        <v>2023.0</v>
      </c>
      <c r="H736" s="248" t="s">
        <v>513</v>
      </c>
      <c r="I736" s="248" t="s">
        <v>514</v>
      </c>
      <c r="J736" s="248" t="s">
        <v>309</v>
      </c>
      <c r="K736" s="249" t="s">
        <v>1611</v>
      </c>
      <c r="L736" s="257" t="s">
        <v>516</v>
      </c>
      <c r="M736" s="249"/>
      <c r="N736" s="249"/>
      <c r="O736" s="249"/>
      <c r="P736" s="249"/>
      <c r="Q736" s="249"/>
      <c r="R736" s="249"/>
      <c r="S736" s="249"/>
      <c r="T736" s="249"/>
      <c r="U736" s="249"/>
      <c r="V736" s="249"/>
    </row>
    <row r="737">
      <c r="A737" s="255" t="s">
        <v>1612</v>
      </c>
      <c r="B737" s="248" t="s">
        <v>586</v>
      </c>
      <c r="C737" s="248" t="s">
        <v>587</v>
      </c>
      <c r="D737" s="248" t="s">
        <v>512</v>
      </c>
      <c r="E737" s="248">
        <v>126000.0</v>
      </c>
      <c r="F737" s="256">
        <v>45156.0</v>
      </c>
      <c r="G737" s="248">
        <v>2023.0</v>
      </c>
      <c r="H737" s="248" t="s">
        <v>513</v>
      </c>
      <c r="I737" s="248" t="s">
        <v>514</v>
      </c>
      <c r="J737" s="248" t="s">
        <v>297</v>
      </c>
      <c r="K737" s="249" t="s">
        <v>1481</v>
      </c>
      <c r="L737" s="257" t="s">
        <v>516</v>
      </c>
      <c r="M737" s="249"/>
      <c r="N737" s="249"/>
      <c r="O737" s="249"/>
      <c r="P737" s="249"/>
      <c r="Q737" s="249"/>
      <c r="R737" s="249"/>
      <c r="S737" s="249"/>
      <c r="T737" s="249"/>
      <c r="U737" s="249"/>
      <c r="V737" s="249"/>
    </row>
    <row r="738">
      <c r="A738" s="255" t="s">
        <v>1613</v>
      </c>
      <c r="B738" s="248" t="s">
        <v>815</v>
      </c>
      <c r="C738" s="248" t="s">
        <v>728</v>
      </c>
      <c r="D738" s="248" t="s">
        <v>512</v>
      </c>
      <c r="E738" s="248">
        <v>8175.0</v>
      </c>
      <c r="F738" s="256">
        <v>45156.0</v>
      </c>
      <c r="G738" s="248">
        <v>2023.0</v>
      </c>
      <c r="H738" s="248" t="s">
        <v>513</v>
      </c>
      <c r="I738" s="248" t="s">
        <v>514</v>
      </c>
      <c r="J738" s="248" t="s">
        <v>297</v>
      </c>
      <c r="K738" s="249" t="s">
        <v>1614</v>
      </c>
      <c r="L738" s="257" t="s">
        <v>516</v>
      </c>
      <c r="M738" s="249"/>
      <c r="N738" s="249"/>
      <c r="O738" s="249"/>
      <c r="P738" s="249"/>
      <c r="Q738" s="249"/>
      <c r="R738" s="249"/>
      <c r="S738" s="249"/>
      <c r="T738" s="249"/>
      <c r="U738" s="249"/>
      <c r="V738" s="249"/>
    </row>
    <row r="739">
      <c r="A739" s="255" t="s">
        <v>870</v>
      </c>
      <c r="B739" s="248" t="s">
        <v>679</v>
      </c>
      <c r="C739" s="248" t="s">
        <v>663</v>
      </c>
      <c r="D739" s="248" t="s">
        <v>512</v>
      </c>
      <c r="E739" s="248">
        <v>599367.0</v>
      </c>
      <c r="F739" s="256">
        <v>45155.0</v>
      </c>
      <c r="G739" s="248">
        <v>2023.0</v>
      </c>
      <c r="H739" s="248" t="s">
        <v>513</v>
      </c>
      <c r="I739" s="248" t="s">
        <v>514</v>
      </c>
      <c r="J739" s="248" t="s">
        <v>309</v>
      </c>
      <c r="K739" s="249" t="s">
        <v>1615</v>
      </c>
      <c r="L739" s="257" t="s">
        <v>516</v>
      </c>
      <c r="M739" s="249"/>
      <c r="N739" s="249"/>
      <c r="O739" s="249"/>
      <c r="P739" s="249"/>
      <c r="Q739" s="249"/>
      <c r="R739" s="249"/>
      <c r="S739" s="249"/>
      <c r="T739" s="249"/>
      <c r="U739" s="249"/>
      <c r="V739" s="249"/>
    </row>
    <row r="740">
      <c r="A740" s="255" t="s">
        <v>1616</v>
      </c>
      <c r="B740" s="248" t="s">
        <v>518</v>
      </c>
      <c r="C740" s="248" t="s">
        <v>519</v>
      </c>
      <c r="D740" s="248" t="s">
        <v>575</v>
      </c>
      <c r="E740" s="248">
        <v>47485.0</v>
      </c>
      <c r="F740" s="256">
        <v>45155.0</v>
      </c>
      <c r="G740" s="248">
        <v>2023.0</v>
      </c>
      <c r="H740" s="248" t="s">
        <v>513</v>
      </c>
      <c r="I740" s="248" t="s">
        <v>514</v>
      </c>
      <c r="J740" s="248" t="s">
        <v>309</v>
      </c>
      <c r="K740" s="249" t="s">
        <v>1617</v>
      </c>
      <c r="L740" s="257" t="s">
        <v>516</v>
      </c>
      <c r="M740" s="249"/>
      <c r="N740" s="249"/>
      <c r="O740" s="249"/>
      <c r="P740" s="249"/>
      <c r="Q740" s="249"/>
      <c r="R740" s="249"/>
      <c r="S740" s="249"/>
      <c r="T740" s="249"/>
      <c r="U740" s="249"/>
      <c r="V740" s="249"/>
    </row>
    <row r="741">
      <c r="A741" s="255" t="s">
        <v>1618</v>
      </c>
      <c r="B741" s="248" t="s">
        <v>679</v>
      </c>
      <c r="C741" s="248" t="s">
        <v>663</v>
      </c>
      <c r="D741" s="248" t="s">
        <v>520</v>
      </c>
      <c r="E741" s="248">
        <v>537987.0</v>
      </c>
      <c r="F741" s="256">
        <v>45155.0</v>
      </c>
      <c r="G741" s="248">
        <v>2023.0</v>
      </c>
      <c r="H741" s="248" t="s">
        <v>513</v>
      </c>
      <c r="I741" s="248" t="s">
        <v>514</v>
      </c>
      <c r="J741" s="248" t="s">
        <v>309</v>
      </c>
      <c r="K741" s="249" t="s">
        <v>1619</v>
      </c>
      <c r="L741" s="257" t="s">
        <v>516</v>
      </c>
      <c r="M741" s="249"/>
      <c r="N741" s="249"/>
      <c r="O741" s="249"/>
      <c r="P741" s="249"/>
      <c r="Q741" s="249"/>
      <c r="R741" s="249"/>
      <c r="S741" s="249"/>
      <c r="T741" s="249"/>
      <c r="U741" s="249"/>
      <c r="V741" s="249"/>
    </row>
    <row r="742">
      <c r="A742" s="255" t="s">
        <v>1620</v>
      </c>
      <c r="B742" s="248" t="s">
        <v>705</v>
      </c>
      <c r="C742" s="248" t="s">
        <v>706</v>
      </c>
      <c r="D742" s="248" t="s">
        <v>520</v>
      </c>
      <c r="E742" s="248">
        <v>1170094.0</v>
      </c>
      <c r="F742" s="256">
        <v>45155.0</v>
      </c>
      <c r="G742" s="248">
        <v>2023.0</v>
      </c>
      <c r="H742" s="248" t="s">
        <v>513</v>
      </c>
      <c r="I742" s="248" t="s">
        <v>514</v>
      </c>
      <c r="J742" s="248" t="s">
        <v>309</v>
      </c>
      <c r="K742" s="249" t="s">
        <v>1621</v>
      </c>
      <c r="L742" s="257" t="s">
        <v>516</v>
      </c>
      <c r="M742" s="249"/>
      <c r="N742" s="249"/>
      <c r="O742" s="249"/>
      <c r="P742" s="249"/>
      <c r="Q742" s="249"/>
      <c r="R742" s="249"/>
      <c r="S742" s="249"/>
      <c r="T742" s="249"/>
      <c r="U742" s="249"/>
      <c r="V742" s="249"/>
    </row>
    <row r="743">
      <c r="A743" s="255" t="s">
        <v>1622</v>
      </c>
      <c r="B743" s="248" t="s">
        <v>688</v>
      </c>
      <c r="C743" s="248" t="s">
        <v>683</v>
      </c>
      <c r="D743" s="248" t="s">
        <v>512</v>
      </c>
      <c r="E743" s="248">
        <v>2800.0</v>
      </c>
      <c r="F743" s="256">
        <v>45154.0</v>
      </c>
      <c r="G743" s="248">
        <v>2023.0</v>
      </c>
      <c r="H743" s="248" t="s">
        <v>546</v>
      </c>
      <c r="I743" s="248" t="s">
        <v>514</v>
      </c>
      <c r="J743" s="248" t="s">
        <v>297</v>
      </c>
      <c r="K743" s="249" t="s">
        <v>1465</v>
      </c>
      <c r="L743" s="257" t="s">
        <v>516</v>
      </c>
      <c r="M743" s="249"/>
      <c r="N743" s="249"/>
      <c r="O743" s="249"/>
      <c r="P743" s="249"/>
      <c r="Q743" s="249"/>
      <c r="R743" s="249"/>
      <c r="S743" s="249"/>
      <c r="T743" s="249"/>
      <c r="U743" s="249"/>
      <c r="V743" s="249"/>
    </row>
    <row r="744">
      <c r="A744" s="255" t="s">
        <v>1623</v>
      </c>
      <c r="B744" s="248" t="s">
        <v>578</v>
      </c>
      <c r="C744" s="248" t="s">
        <v>579</v>
      </c>
      <c r="D744" s="248" t="s">
        <v>512</v>
      </c>
      <c r="E744" s="248">
        <v>4140.0</v>
      </c>
      <c r="F744" s="256">
        <v>45153.0</v>
      </c>
      <c r="G744" s="248">
        <v>2023.0</v>
      </c>
      <c r="H744" s="248" t="s">
        <v>556</v>
      </c>
      <c r="I744" s="248" t="s">
        <v>707</v>
      </c>
      <c r="J744" s="248" t="s">
        <v>297</v>
      </c>
      <c r="K744" s="249" t="s">
        <v>1624</v>
      </c>
      <c r="L744" s="257" t="s">
        <v>516</v>
      </c>
      <c r="M744" s="249"/>
      <c r="N744" s="249"/>
      <c r="O744" s="249"/>
      <c r="P744" s="249"/>
      <c r="Q744" s="249"/>
      <c r="R744" s="249"/>
      <c r="S744" s="249"/>
      <c r="T744" s="249"/>
      <c r="U744" s="249"/>
      <c r="V744" s="249"/>
    </row>
    <row r="745">
      <c r="A745" s="255" t="s">
        <v>1625</v>
      </c>
      <c r="B745" s="248" t="s">
        <v>595</v>
      </c>
      <c r="C745" s="248" t="s">
        <v>596</v>
      </c>
      <c r="D745" s="248" t="s">
        <v>520</v>
      </c>
      <c r="E745" s="248">
        <v>1752076.0</v>
      </c>
      <c r="F745" s="256">
        <v>45153.0</v>
      </c>
      <c r="G745" s="248">
        <v>2023.0</v>
      </c>
      <c r="H745" s="248" t="s">
        <v>513</v>
      </c>
      <c r="I745" s="248" t="s">
        <v>514</v>
      </c>
      <c r="J745" s="248" t="s">
        <v>309</v>
      </c>
      <c r="K745" s="249" t="s">
        <v>1626</v>
      </c>
      <c r="L745" s="257" t="s">
        <v>516</v>
      </c>
      <c r="M745" s="249"/>
      <c r="N745" s="249"/>
      <c r="O745" s="249"/>
      <c r="P745" s="249"/>
      <c r="Q745" s="249"/>
      <c r="R745" s="249"/>
      <c r="S745" s="249"/>
      <c r="T745" s="249"/>
      <c r="U745" s="249"/>
      <c r="V745" s="249"/>
    </row>
    <row r="746">
      <c r="A746" s="255" t="s">
        <v>1627</v>
      </c>
      <c r="B746" s="248" t="s">
        <v>894</v>
      </c>
      <c r="C746" s="248" t="s">
        <v>639</v>
      </c>
      <c r="D746" s="248" t="s">
        <v>575</v>
      </c>
      <c r="E746" s="248">
        <v>8606.0</v>
      </c>
      <c r="F746" s="256">
        <v>45153.0</v>
      </c>
      <c r="G746" s="248">
        <v>2023.0</v>
      </c>
      <c r="H746" s="248" t="s">
        <v>513</v>
      </c>
      <c r="I746" s="248" t="s">
        <v>514</v>
      </c>
      <c r="J746" s="248" t="s">
        <v>309</v>
      </c>
      <c r="K746" s="249" t="s">
        <v>1628</v>
      </c>
      <c r="L746" s="257" t="s">
        <v>516</v>
      </c>
      <c r="M746" s="249"/>
      <c r="N746" s="249"/>
      <c r="O746" s="249"/>
      <c r="P746" s="249"/>
      <c r="Q746" s="249"/>
      <c r="R746" s="249"/>
      <c r="S746" s="249"/>
      <c r="T746" s="249"/>
      <c r="U746" s="249"/>
      <c r="V746" s="249"/>
    </row>
    <row r="747">
      <c r="A747" s="255" t="s">
        <v>1629</v>
      </c>
      <c r="B747" s="248" t="s">
        <v>824</v>
      </c>
      <c r="C747" s="248" t="s">
        <v>743</v>
      </c>
      <c r="D747" s="248" t="s">
        <v>520</v>
      </c>
      <c r="E747" s="248">
        <v>8801.0</v>
      </c>
      <c r="F747" s="256">
        <v>45149.0</v>
      </c>
      <c r="G747" s="248">
        <v>2023.0</v>
      </c>
      <c r="H747" s="248" t="s">
        <v>513</v>
      </c>
      <c r="I747" s="248" t="s">
        <v>514</v>
      </c>
      <c r="J747" s="248" t="s">
        <v>309</v>
      </c>
      <c r="K747" s="249" t="s">
        <v>1630</v>
      </c>
      <c r="L747" s="257" t="s">
        <v>516</v>
      </c>
      <c r="M747" s="249"/>
      <c r="N747" s="249"/>
      <c r="O747" s="249"/>
      <c r="P747" s="249"/>
      <c r="Q747" s="249"/>
      <c r="R747" s="249"/>
      <c r="S747" s="249"/>
      <c r="T747" s="249"/>
      <c r="U747" s="249"/>
      <c r="V747" s="249"/>
    </row>
    <row r="748">
      <c r="A748" s="255" t="s">
        <v>1631</v>
      </c>
      <c r="B748" s="248" t="s">
        <v>679</v>
      </c>
      <c r="C748" s="248" t="s">
        <v>663</v>
      </c>
      <c r="D748" s="248" t="s">
        <v>575</v>
      </c>
      <c r="E748" s="248">
        <v>47711.0</v>
      </c>
      <c r="F748" s="256">
        <v>45149.0</v>
      </c>
      <c r="G748" s="248">
        <v>2023.0</v>
      </c>
      <c r="H748" s="248" t="s">
        <v>513</v>
      </c>
      <c r="I748" s="248" t="s">
        <v>514</v>
      </c>
      <c r="J748" s="248" t="s">
        <v>297</v>
      </c>
      <c r="K748" s="249" t="s">
        <v>1632</v>
      </c>
      <c r="L748" s="257" t="s">
        <v>516</v>
      </c>
      <c r="M748" s="249"/>
      <c r="N748" s="249"/>
      <c r="O748" s="249"/>
      <c r="P748" s="249"/>
      <c r="Q748" s="249"/>
      <c r="R748" s="249"/>
      <c r="S748" s="249"/>
      <c r="T748" s="249"/>
      <c r="U748" s="249"/>
      <c r="V748" s="249"/>
    </row>
    <row r="749">
      <c r="A749" s="255" t="s">
        <v>1633</v>
      </c>
      <c r="B749" s="248" t="s">
        <v>727</v>
      </c>
      <c r="C749" s="248" t="s">
        <v>658</v>
      </c>
      <c r="D749" s="248" t="s">
        <v>575</v>
      </c>
      <c r="E749" s="248">
        <v>4091794.0</v>
      </c>
      <c r="F749" s="256">
        <v>45149.0</v>
      </c>
      <c r="G749" s="248">
        <v>2023.0</v>
      </c>
      <c r="H749" s="248" t="s">
        <v>513</v>
      </c>
      <c r="I749" s="248" t="s">
        <v>514</v>
      </c>
      <c r="J749" s="248" t="s">
        <v>309</v>
      </c>
      <c r="K749" s="249" t="s">
        <v>1634</v>
      </c>
      <c r="L749" s="257" t="s">
        <v>516</v>
      </c>
      <c r="M749" s="249"/>
      <c r="N749" s="249"/>
      <c r="O749" s="249"/>
      <c r="P749" s="249"/>
      <c r="Q749" s="249"/>
      <c r="R749" s="249"/>
      <c r="S749" s="249"/>
      <c r="T749" s="249"/>
      <c r="U749" s="249"/>
      <c r="V749" s="249"/>
    </row>
    <row r="750">
      <c r="A750" s="255" t="s">
        <v>1635</v>
      </c>
      <c r="B750" s="248" t="s">
        <v>748</v>
      </c>
      <c r="C750" s="248" t="s">
        <v>694</v>
      </c>
      <c r="D750" s="248" t="s">
        <v>520</v>
      </c>
      <c r="E750" s="248">
        <v>223598.0</v>
      </c>
      <c r="F750" s="256">
        <v>45148.0</v>
      </c>
      <c r="G750" s="248">
        <v>2023.0</v>
      </c>
      <c r="H750" s="248" t="s">
        <v>513</v>
      </c>
      <c r="I750" s="248" t="s">
        <v>514</v>
      </c>
      <c r="J750" s="248" t="s">
        <v>309</v>
      </c>
      <c r="K750" s="249" t="s">
        <v>1636</v>
      </c>
      <c r="L750" s="257" t="s">
        <v>516</v>
      </c>
      <c r="M750" s="249"/>
      <c r="N750" s="249"/>
      <c r="O750" s="249"/>
      <c r="P750" s="249"/>
      <c r="Q750" s="249"/>
      <c r="R750" s="249"/>
      <c r="S750" s="249"/>
      <c r="T750" s="249"/>
      <c r="U750" s="249"/>
      <c r="V750" s="249"/>
    </row>
    <row r="751">
      <c r="A751" s="255" t="s">
        <v>1637</v>
      </c>
      <c r="B751" s="248" t="s">
        <v>530</v>
      </c>
      <c r="C751" s="248" t="s">
        <v>531</v>
      </c>
      <c r="D751" s="248" t="s">
        <v>575</v>
      </c>
      <c r="E751" s="248">
        <v>1446.0</v>
      </c>
      <c r="F751" s="256">
        <v>45147.0</v>
      </c>
      <c r="G751" s="248">
        <v>2023.0</v>
      </c>
      <c r="H751" s="248" t="s">
        <v>546</v>
      </c>
      <c r="I751" s="248" t="s">
        <v>521</v>
      </c>
      <c r="J751" s="248" t="s">
        <v>297</v>
      </c>
      <c r="K751" s="249" t="s">
        <v>1638</v>
      </c>
      <c r="L751" s="257" t="s">
        <v>516</v>
      </c>
      <c r="M751" s="249"/>
      <c r="N751" s="249"/>
      <c r="O751" s="249"/>
      <c r="P751" s="249"/>
      <c r="Q751" s="249"/>
      <c r="R751" s="249"/>
      <c r="S751" s="249"/>
      <c r="T751" s="249"/>
      <c r="U751" s="249"/>
      <c r="V751" s="249"/>
    </row>
    <row r="752">
      <c r="A752" s="255" t="s">
        <v>1562</v>
      </c>
      <c r="B752" s="248" t="s">
        <v>845</v>
      </c>
      <c r="C752" s="248" t="s">
        <v>733</v>
      </c>
      <c r="D752" s="248" t="s">
        <v>575</v>
      </c>
      <c r="E752" s="248">
        <v>423824.0</v>
      </c>
      <c r="F752" s="256">
        <v>45147.0</v>
      </c>
      <c r="G752" s="248">
        <v>2023.0</v>
      </c>
      <c r="H752" s="248" t="s">
        <v>513</v>
      </c>
      <c r="I752" s="248" t="s">
        <v>514</v>
      </c>
      <c r="J752" s="248" t="s">
        <v>309</v>
      </c>
      <c r="K752" s="249" t="s">
        <v>1524</v>
      </c>
      <c r="L752" s="257" t="s">
        <v>516</v>
      </c>
      <c r="M752" s="249"/>
      <c r="N752" s="249"/>
      <c r="O752" s="249"/>
      <c r="P752" s="249"/>
      <c r="Q752" s="249"/>
      <c r="R752" s="249"/>
      <c r="S752" s="249"/>
      <c r="T752" s="249"/>
      <c r="U752" s="249"/>
      <c r="V752" s="249"/>
    </row>
    <row r="753">
      <c r="A753" s="255" t="s">
        <v>1639</v>
      </c>
      <c r="B753" s="248" t="s">
        <v>590</v>
      </c>
      <c r="C753" s="248" t="s">
        <v>591</v>
      </c>
      <c r="D753" s="248" t="s">
        <v>520</v>
      </c>
      <c r="E753" s="248">
        <v>18261.0</v>
      </c>
      <c r="F753" s="256">
        <v>45146.0</v>
      </c>
      <c r="G753" s="248">
        <v>2023.0</v>
      </c>
      <c r="H753" s="248" t="s">
        <v>513</v>
      </c>
      <c r="I753" s="248" t="s">
        <v>514</v>
      </c>
      <c r="J753" s="248" t="s">
        <v>309</v>
      </c>
      <c r="K753" s="249" t="s">
        <v>1640</v>
      </c>
      <c r="L753" s="257" t="s">
        <v>516</v>
      </c>
      <c r="M753" s="249"/>
      <c r="N753" s="249"/>
      <c r="O753" s="249"/>
      <c r="P753" s="249"/>
      <c r="Q753" s="249"/>
      <c r="R753" s="249"/>
      <c r="S753" s="249"/>
      <c r="T753" s="249"/>
      <c r="U753" s="249"/>
      <c r="V753" s="249"/>
    </row>
    <row r="754">
      <c r="A754" s="255" t="s">
        <v>1641</v>
      </c>
      <c r="B754" s="248" t="s">
        <v>586</v>
      </c>
      <c r="C754" s="248" t="s">
        <v>587</v>
      </c>
      <c r="D754" s="248" t="s">
        <v>512</v>
      </c>
      <c r="E754" s="248">
        <v>1997.0</v>
      </c>
      <c r="F754" s="256">
        <v>45146.0</v>
      </c>
      <c r="G754" s="248">
        <v>2023.0</v>
      </c>
      <c r="H754" s="248" t="s">
        <v>513</v>
      </c>
      <c r="I754" s="248" t="s">
        <v>514</v>
      </c>
      <c r="J754" s="248" t="s">
        <v>309</v>
      </c>
      <c r="K754" s="249" t="s">
        <v>1642</v>
      </c>
      <c r="L754" s="257" t="s">
        <v>516</v>
      </c>
      <c r="M754" s="249"/>
      <c r="N754" s="249"/>
      <c r="O754" s="249"/>
      <c r="P754" s="249"/>
      <c r="Q754" s="249"/>
      <c r="R754" s="249"/>
      <c r="S754" s="249"/>
      <c r="T754" s="249"/>
      <c r="U754" s="249"/>
      <c r="V754" s="249"/>
    </row>
    <row r="755">
      <c r="A755" s="255" t="s">
        <v>1643</v>
      </c>
      <c r="B755" s="248" t="s">
        <v>525</v>
      </c>
      <c r="C755" s="248" t="s">
        <v>526</v>
      </c>
      <c r="D755" s="248" t="s">
        <v>575</v>
      </c>
      <c r="E755" s="248">
        <v>33212.0</v>
      </c>
      <c r="F755" s="256">
        <v>45146.0</v>
      </c>
      <c r="G755" s="248">
        <v>2023.0</v>
      </c>
      <c r="H755" s="248" t="s">
        <v>513</v>
      </c>
      <c r="I755" s="248" t="s">
        <v>514</v>
      </c>
      <c r="J755" s="248" t="s">
        <v>309</v>
      </c>
      <c r="K755" s="249" t="s">
        <v>1644</v>
      </c>
      <c r="L755" s="257" t="s">
        <v>516</v>
      </c>
      <c r="M755" s="249"/>
      <c r="N755" s="249"/>
      <c r="O755" s="249"/>
      <c r="P755" s="249"/>
      <c r="Q755" s="249"/>
      <c r="R755" s="249"/>
      <c r="S755" s="249"/>
      <c r="T755" s="249"/>
      <c r="U755" s="249"/>
      <c r="V755" s="249"/>
    </row>
    <row r="756">
      <c r="A756" s="255" t="s">
        <v>1645</v>
      </c>
      <c r="B756" s="248" t="s">
        <v>525</v>
      </c>
      <c r="C756" s="248" t="s">
        <v>526</v>
      </c>
      <c r="D756" s="248" t="s">
        <v>512</v>
      </c>
      <c r="E756" s="248">
        <v>1136.0</v>
      </c>
      <c r="F756" s="256">
        <v>45146.0</v>
      </c>
      <c r="G756" s="248">
        <v>2023.0</v>
      </c>
      <c r="H756" s="248" t="s">
        <v>513</v>
      </c>
      <c r="I756" s="248" t="s">
        <v>514</v>
      </c>
      <c r="J756" s="248" t="s">
        <v>297</v>
      </c>
      <c r="K756" s="249" t="s">
        <v>1646</v>
      </c>
      <c r="L756" s="257" t="s">
        <v>516</v>
      </c>
      <c r="M756" s="249"/>
      <c r="N756" s="249"/>
      <c r="O756" s="249"/>
      <c r="P756" s="249"/>
      <c r="Q756" s="249"/>
      <c r="R756" s="249"/>
      <c r="S756" s="249"/>
      <c r="T756" s="249"/>
      <c r="U756" s="249"/>
      <c r="V756" s="249"/>
    </row>
    <row r="757">
      <c r="A757" s="255" t="s">
        <v>1647</v>
      </c>
      <c r="B757" s="248" t="s">
        <v>878</v>
      </c>
      <c r="C757" s="248" t="s">
        <v>643</v>
      </c>
      <c r="D757" s="248" t="s">
        <v>575</v>
      </c>
      <c r="E757" s="248">
        <v>739884.0</v>
      </c>
      <c r="F757" s="256">
        <v>45145.0</v>
      </c>
      <c r="G757" s="248">
        <v>2023.0</v>
      </c>
      <c r="H757" s="248" t="s">
        <v>513</v>
      </c>
      <c r="I757" s="248" t="s">
        <v>514</v>
      </c>
      <c r="J757" s="248" t="s">
        <v>309</v>
      </c>
      <c r="K757" s="249" t="s">
        <v>1648</v>
      </c>
      <c r="L757" s="257" t="s">
        <v>516</v>
      </c>
      <c r="M757" s="249"/>
      <c r="N757" s="249"/>
      <c r="O757" s="249"/>
      <c r="P757" s="249"/>
      <c r="Q757" s="249"/>
      <c r="R757" s="249"/>
      <c r="S757" s="249"/>
      <c r="T757" s="249"/>
      <c r="U757" s="249"/>
      <c r="V757" s="249"/>
    </row>
    <row r="758">
      <c r="A758" s="255" t="s">
        <v>650</v>
      </c>
      <c r="B758" s="248" t="s">
        <v>530</v>
      </c>
      <c r="C758" s="248" t="s">
        <v>531</v>
      </c>
      <c r="D758" s="248" t="s">
        <v>512</v>
      </c>
      <c r="E758" s="248">
        <v>1345.0</v>
      </c>
      <c r="F758" s="256">
        <v>45145.0</v>
      </c>
      <c r="G758" s="248">
        <v>2023.0</v>
      </c>
      <c r="H758" s="248" t="s">
        <v>546</v>
      </c>
      <c r="I758" s="248" t="s">
        <v>521</v>
      </c>
      <c r="J758" s="248" t="s">
        <v>297</v>
      </c>
      <c r="K758" s="249" t="s">
        <v>1649</v>
      </c>
      <c r="L758" s="257" t="s">
        <v>516</v>
      </c>
      <c r="M758" s="249"/>
      <c r="N758" s="249"/>
      <c r="O758" s="249"/>
      <c r="P758" s="249"/>
      <c r="Q758" s="249"/>
      <c r="R758" s="249"/>
      <c r="S758" s="249"/>
      <c r="T758" s="249"/>
      <c r="U758" s="249"/>
      <c r="V758" s="249"/>
    </row>
    <row r="759">
      <c r="A759" s="255" t="s">
        <v>1650</v>
      </c>
      <c r="B759" s="248" t="s">
        <v>530</v>
      </c>
      <c r="C759" s="248" t="s">
        <v>531</v>
      </c>
      <c r="D759" s="248" t="s">
        <v>512</v>
      </c>
      <c r="E759" s="248">
        <v>3400.0</v>
      </c>
      <c r="F759" s="256">
        <v>45143.0</v>
      </c>
      <c r="G759" s="248">
        <v>2023.0</v>
      </c>
      <c r="H759" s="248" t="s">
        <v>513</v>
      </c>
      <c r="I759" s="248" t="s">
        <v>521</v>
      </c>
      <c r="J759" s="248" t="s">
        <v>297</v>
      </c>
      <c r="K759" s="249" t="s">
        <v>1651</v>
      </c>
      <c r="L759" s="257" t="s">
        <v>516</v>
      </c>
      <c r="M759" s="249"/>
      <c r="N759" s="249"/>
      <c r="O759" s="249"/>
      <c r="P759" s="249"/>
      <c r="Q759" s="249"/>
      <c r="R759" s="249"/>
      <c r="S759" s="249"/>
      <c r="T759" s="249"/>
      <c r="U759" s="249"/>
      <c r="V759" s="249"/>
    </row>
    <row r="760">
      <c r="A760" s="255" t="s">
        <v>1558</v>
      </c>
      <c r="B760" s="248" t="s">
        <v>538</v>
      </c>
      <c r="C760" s="248" t="s">
        <v>539</v>
      </c>
      <c r="D760" s="248" t="s">
        <v>575</v>
      </c>
      <c r="E760" s="248">
        <v>21383.0</v>
      </c>
      <c r="F760" s="256">
        <v>45142.0</v>
      </c>
      <c r="G760" s="248">
        <v>2023.0</v>
      </c>
      <c r="H760" s="248" t="s">
        <v>513</v>
      </c>
      <c r="I760" s="248" t="s">
        <v>514</v>
      </c>
      <c r="J760" s="248" t="s">
        <v>309</v>
      </c>
      <c r="K760" s="249" t="s">
        <v>1652</v>
      </c>
      <c r="L760" s="257" t="s">
        <v>516</v>
      </c>
      <c r="M760" s="249"/>
      <c r="N760" s="249"/>
      <c r="O760" s="249"/>
      <c r="P760" s="249"/>
      <c r="Q760" s="249"/>
      <c r="R760" s="249"/>
      <c r="S760" s="249"/>
      <c r="T760" s="249"/>
      <c r="U760" s="249"/>
      <c r="V760" s="249"/>
    </row>
    <row r="761">
      <c r="A761" s="255" t="s">
        <v>1653</v>
      </c>
      <c r="B761" s="248" t="s">
        <v>530</v>
      </c>
      <c r="C761" s="248" t="s">
        <v>531</v>
      </c>
      <c r="D761" s="248" t="s">
        <v>512</v>
      </c>
      <c r="E761" s="248">
        <v>1769.0</v>
      </c>
      <c r="F761" s="256">
        <v>45142.0</v>
      </c>
      <c r="G761" s="248">
        <v>2023.0</v>
      </c>
      <c r="H761" s="248" t="s">
        <v>513</v>
      </c>
      <c r="I761" s="248" t="s">
        <v>521</v>
      </c>
      <c r="J761" s="248" t="s">
        <v>297</v>
      </c>
      <c r="K761" s="249" t="s">
        <v>1654</v>
      </c>
      <c r="L761" s="257" t="s">
        <v>516</v>
      </c>
      <c r="M761" s="249"/>
      <c r="N761" s="249"/>
      <c r="O761" s="249"/>
      <c r="P761" s="249"/>
      <c r="Q761" s="249"/>
      <c r="R761" s="249"/>
      <c r="S761" s="249"/>
      <c r="T761" s="249"/>
      <c r="U761" s="249"/>
      <c r="V761" s="249"/>
    </row>
    <row r="762">
      <c r="A762" s="255" t="s">
        <v>1655</v>
      </c>
      <c r="B762" s="248" t="s">
        <v>679</v>
      </c>
      <c r="C762" s="248" t="s">
        <v>663</v>
      </c>
      <c r="D762" s="248" t="s">
        <v>520</v>
      </c>
      <c r="E762" s="248">
        <v>7313.0</v>
      </c>
      <c r="F762" s="256">
        <v>45141.0</v>
      </c>
      <c r="G762" s="248">
        <v>2023.0</v>
      </c>
      <c r="H762" s="248" t="s">
        <v>513</v>
      </c>
      <c r="I762" s="248" t="s">
        <v>514</v>
      </c>
      <c r="J762" s="248" t="s">
        <v>309</v>
      </c>
      <c r="K762" s="249" t="s">
        <v>1656</v>
      </c>
      <c r="L762" s="257" t="s">
        <v>516</v>
      </c>
      <c r="M762" s="249"/>
      <c r="N762" s="249"/>
      <c r="O762" s="249"/>
      <c r="P762" s="249"/>
      <c r="Q762" s="249"/>
      <c r="R762" s="249"/>
      <c r="S762" s="249"/>
      <c r="T762" s="249"/>
      <c r="U762" s="249"/>
      <c r="V762" s="249"/>
    </row>
    <row r="763">
      <c r="A763" s="255" t="s">
        <v>1657</v>
      </c>
      <c r="B763" s="248" t="s">
        <v>1259</v>
      </c>
      <c r="C763" s="248" t="s">
        <v>740</v>
      </c>
      <c r="D763" s="248" t="s">
        <v>575</v>
      </c>
      <c r="E763" s="248">
        <v>1292.0</v>
      </c>
      <c r="F763" s="256">
        <v>45139.0</v>
      </c>
      <c r="G763" s="248">
        <v>2023.0</v>
      </c>
      <c r="H763" s="248" t="s">
        <v>513</v>
      </c>
      <c r="I763" s="248" t="s">
        <v>514</v>
      </c>
      <c r="J763" s="248" t="s">
        <v>297</v>
      </c>
      <c r="K763" s="249" t="s">
        <v>1658</v>
      </c>
      <c r="L763" s="257" t="s">
        <v>516</v>
      </c>
      <c r="M763" s="249"/>
      <c r="N763" s="249"/>
      <c r="O763" s="249"/>
      <c r="P763" s="249"/>
      <c r="Q763" s="249"/>
      <c r="R763" s="249"/>
      <c r="S763" s="249"/>
      <c r="T763" s="249"/>
      <c r="U763" s="249"/>
      <c r="V763" s="249"/>
    </row>
    <row r="764">
      <c r="A764" s="255" t="s">
        <v>1659</v>
      </c>
      <c r="B764" s="248" t="s">
        <v>810</v>
      </c>
      <c r="C764" s="248" t="s">
        <v>655</v>
      </c>
      <c r="D764" s="248" t="s">
        <v>520</v>
      </c>
      <c r="E764" s="248">
        <v>2584.0</v>
      </c>
      <c r="F764" s="256">
        <v>45138.0</v>
      </c>
      <c r="G764" s="248">
        <v>2023.0</v>
      </c>
      <c r="H764" s="248" t="s">
        <v>513</v>
      </c>
      <c r="I764" s="248" t="s">
        <v>514</v>
      </c>
      <c r="J764" s="248" t="s">
        <v>309</v>
      </c>
      <c r="K764" s="249" t="s">
        <v>1660</v>
      </c>
      <c r="L764" s="257" t="s">
        <v>516</v>
      </c>
      <c r="M764" s="249"/>
      <c r="N764" s="249"/>
      <c r="O764" s="249"/>
      <c r="P764" s="249"/>
      <c r="Q764" s="249"/>
      <c r="R764" s="249"/>
      <c r="S764" s="249"/>
      <c r="T764" s="249"/>
      <c r="U764" s="249"/>
      <c r="V764" s="249"/>
    </row>
    <row r="765">
      <c r="A765" s="255" t="s">
        <v>1661</v>
      </c>
      <c r="B765" s="248" t="s">
        <v>810</v>
      </c>
      <c r="C765" s="248" t="s">
        <v>655</v>
      </c>
      <c r="D765" s="248" t="s">
        <v>512</v>
      </c>
      <c r="E765" s="248">
        <v>2975.0</v>
      </c>
      <c r="F765" s="256">
        <v>45138.0</v>
      </c>
      <c r="G765" s="248">
        <v>2023.0</v>
      </c>
      <c r="H765" s="248" t="s">
        <v>513</v>
      </c>
      <c r="I765" s="248" t="s">
        <v>514</v>
      </c>
      <c r="J765" s="248" t="s">
        <v>309</v>
      </c>
      <c r="K765" s="249" t="s">
        <v>1662</v>
      </c>
      <c r="L765" s="257" t="s">
        <v>516</v>
      </c>
      <c r="M765" s="249"/>
      <c r="N765" s="249"/>
      <c r="O765" s="249"/>
      <c r="P765" s="249"/>
      <c r="Q765" s="249"/>
      <c r="R765" s="249"/>
      <c r="S765" s="249"/>
      <c r="T765" s="249"/>
      <c r="U765" s="249"/>
      <c r="V765" s="249"/>
    </row>
    <row r="766">
      <c r="A766" s="255" t="s">
        <v>1663</v>
      </c>
      <c r="B766" s="248" t="s">
        <v>564</v>
      </c>
      <c r="C766" s="248" t="s">
        <v>565</v>
      </c>
      <c r="D766" s="248" t="s">
        <v>520</v>
      </c>
      <c r="E766" s="248">
        <v>296956.0</v>
      </c>
      <c r="F766" s="256">
        <v>45138.0</v>
      </c>
      <c r="G766" s="248">
        <v>2023.0</v>
      </c>
      <c r="H766" s="248" t="s">
        <v>513</v>
      </c>
      <c r="I766" s="248" t="s">
        <v>514</v>
      </c>
      <c r="J766" s="248" t="s">
        <v>309</v>
      </c>
      <c r="K766" s="249" t="s">
        <v>1664</v>
      </c>
      <c r="L766" s="257" t="s">
        <v>516</v>
      </c>
      <c r="M766" s="249"/>
      <c r="N766" s="249"/>
      <c r="O766" s="249"/>
      <c r="P766" s="249"/>
      <c r="Q766" s="249"/>
      <c r="R766" s="249"/>
      <c r="S766" s="249"/>
      <c r="T766" s="249"/>
      <c r="U766" s="249"/>
      <c r="V766" s="249"/>
    </row>
    <row r="767">
      <c r="A767" s="255" t="s">
        <v>1665</v>
      </c>
      <c r="B767" s="248" t="s">
        <v>530</v>
      </c>
      <c r="C767" s="248" t="s">
        <v>531</v>
      </c>
      <c r="D767" s="248" t="s">
        <v>512</v>
      </c>
      <c r="E767" s="248">
        <v>3201.0</v>
      </c>
      <c r="F767" s="256">
        <v>45135.0</v>
      </c>
      <c r="G767" s="248">
        <v>2023.0</v>
      </c>
      <c r="H767" s="248" t="s">
        <v>513</v>
      </c>
      <c r="I767" s="248" t="s">
        <v>521</v>
      </c>
      <c r="J767" s="248" t="s">
        <v>297</v>
      </c>
      <c r="K767" s="249" t="s">
        <v>1666</v>
      </c>
      <c r="L767" s="257" t="s">
        <v>516</v>
      </c>
      <c r="M767" s="249"/>
      <c r="N767" s="249"/>
      <c r="O767" s="249"/>
      <c r="P767" s="249"/>
      <c r="Q767" s="249"/>
      <c r="R767" s="249"/>
      <c r="S767" s="249"/>
      <c r="T767" s="249"/>
      <c r="U767" s="249"/>
      <c r="V767" s="249"/>
    </row>
    <row r="768">
      <c r="A768" s="255" t="s">
        <v>1394</v>
      </c>
      <c r="B768" s="248" t="s">
        <v>534</v>
      </c>
      <c r="C768" s="248" t="s">
        <v>535</v>
      </c>
      <c r="D768" s="248" t="s">
        <v>575</v>
      </c>
      <c r="E768" s="248">
        <v>398319.0</v>
      </c>
      <c r="F768" s="256">
        <v>45135.0</v>
      </c>
      <c r="G768" s="248">
        <v>2023.0</v>
      </c>
      <c r="H768" s="248" t="s">
        <v>513</v>
      </c>
      <c r="I768" s="248" t="s">
        <v>514</v>
      </c>
      <c r="J768" s="248" t="s">
        <v>297</v>
      </c>
      <c r="K768" s="249" t="s">
        <v>1667</v>
      </c>
      <c r="L768" s="257" t="s">
        <v>516</v>
      </c>
      <c r="M768" s="249"/>
      <c r="N768" s="249"/>
      <c r="O768" s="249"/>
      <c r="P768" s="249"/>
      <c r="Q768" s="249"/>
      <c r="R768" s="249"/>
      <c r="S768" s="249"/>
      <c r="T768" s="249"/>
      <c r="U768" s="249"/>
      <c r="V768" s="249"/>
    </row>
    <row r="769">
      <c r="A769" s="255" t="s">
        <v>1668</v>
      </c>
      <c r="B769" s="248" t="s">
        <v>956</v>
      </c>
      <c r="C769" s="248" t="s">
        <v>680</v>
      </c>
      <c r="D769" s="248" t="s">
        <v>512</v>
      </c>
      <c r="E769" s="248">
        <v>53827.0</v>
      </c>
      <c r="F769" s="256">
        <v>45135.0</v>
      </c>
      <c r="G769" s="248">
        <v>2023.0</v>
      </c>
      <c r="H769" s="248" t="s">
        <v>513</v>
      </c>
      <c r="I769" s="248" t="s">
        <v>514</v>
      </c>
      <c r="J769" s="248" t="s">
        <v>297</v>
      </c>
      <c r="K769" s="249" t="s">
        <v>1669</v>
      </c>
      <c r="L769" s="257" t="s">
        <v>516</v>
      </c>
      <c r="M769" s="249"/>
      <c r="N769" s="249"/>
      <c r="O769" s="249"/>
      <c r="P769" s="249"/>
      <c r="Q769" s="249"/>
      <c r="R769" s="249"/>
      <c r="S769" s="249"/>
      <c r="T769" s="249"/>
      <c r="U769" s="249"/>
      <c r="V769" s="249"/>
    </row>
    <row r="770">
      <c r="A770" s="255" t="s">
        <v>1670</v>
      </c>
      <c r="B770" s="248" t="s">
        <v>688</v>
      </c>
      <c r="C770" s="248" t="s">
        <v>683</v>
      </c>
      <c r="D770" s="248" t="s">
        <v>512</v>
      </c>
      <c r="E770" s="248">
        <v>689686.0</v>
      </c>
      <c r="F770" s="256">
        <v>45135.0</v>
      </c>
      <c r="G770" s="248">
        <v>2023.0</v>
      </c>
      <c r="H770" s="248" t="s">
        <v>513</v>
      </c>
      <c r="I770" s="248" t="s">
        <v>514</v>
      </c>
      <c r="J770" s="248" t="s">
        <v>297</v>
      </c>
      <c r="K770" s="249" t="s">
        <v>1671</v>
      </c>
      <c r="L770" s="257" t="s">
        <v>516</v>
      </c>
      <c r="M770" s="249"/>
      <c r="N770" s="249"/>
      <c r="O770" s="249"/>
      <c r="P770" s="249"/>
      <c r="Q770" s="249"/>
      <c r="R770" s="249"/>
      <c r="S770" s="249"/>
      <c r="T770" s="249"/>
      <c r="U770" s="249"/>
      <c r="V770" s="249"/>
    </row>
    <row r="771">
      <c r="A771" s="255" t="s">
        <v>1672</v>
      </c>
      <c r="B771" s="248" t="s">
        <v>518</v>
      </c>
      <c r="C771" s="248" t="s">
        <v>519</v>
      </c>
      <c r="D771" s="248" t="s">
        <v>512</v>
      </c>
      <c r="E771" s="248">
        <v>3085.0</v>
      </c>
      <c r="F771" s="256">
        <v>45134.0</v>
      </c>
      <c r="G771" s="248">
        <v>2023.0</v>
      </c>
      <c r="H771" s="248" t="s">
        <v>513</v>
      </c>
      <c r="I771" s="248" t="s">
        <v>514</v>
      </c>
      <c r="J771" s="248" t="s">
        <v>297</v>
      </c>
      <c r="K771" s="249" t="s">
        <v>1673</v>
      </c>
      <c r="L771" s="257" t="s">
        <v>516</v>
      </c>
      <c r="M771" s="249"/>
      <c r="N771" s="249"/>
      <c r="O771" s="249"/>
      <c r="P771" s="249"/>
      <c r="Q771" s="249"/>
      <c r="R771" s="249"/>
      <c r="S771" s="249"/>
      <c r="T771" s="249"/>
      <c r="U771" s="249"/>
      <c r="V771" s="249"/>
    </row>
    <row r="772">
      <c r="A772" s="255" t="s">
        <v>1674</v>
      </c>
      <c r="B772" s="248" t="s">
        <v>721</v>
      </c>
      <c r="C772" s="248" t="s">
        <v>649</v>
      </c>
      <c r="D772" s="248" t="s">
        <v>512</v>
      </c>
      <c r="E772" s="248">
        <v>18911.0</v>
      </c>
      <c r="F772" s="256">
        <v>45133.0</v>
      </c>
      <c r="G772" s="248">
        <v>2023.0</v>
      </c>
      <c r="H772" s="248" t="s">
        <v>513</v>
      </c>
      <c r="I772" s="248" t="s">
        <v>514</v>
      </c>
      <c r="J772" s="248" t="s">
        <v>297</v>
      </c>
      <c r="K772" s="249" t="s">
        <v>1675</v>
      </c>
      <c r="L772" s="257" t="s">
        <v>516</v>
      </c>
      <c r="M772" s="249"/>
      <c r="N772" s="249"/>
      <c r="O772" s="249"/>
      <c r="P772" s="249"/>
      <c r="Q772" s="249"/>
      <c r="R772" s="249"/>
      <c r="S772" s="249"/>
      <c r="T772" s="249"/>
      <c r="U772" s="249"/>
      <c r="V772" s="249"/>
    </row>
    <row r="773">
      <c r="A773" s="255" t="s">
        <v>1676</v>
      </c>
      <c r="B773" s="248" t="s">
        <v>542</v>
      </c>
      <c r="C773" s="248" t="s">
        <v>543</v>
      </c>
      <c r="D773" s="248" t="s">
        <v>512</v>
      </c>
      <c r="E773" s="248">
        <v>70636.0</v>
      </c>
      <c r="F773" s="256">
        <v>45133.0</v>
      </c>
      <c r="G773" s="248">
        <v>2023.0</v>
      </c>
      <c r="H773" s="248" t="s">
        <v>513</v>
      </c>
      <c r="I773" s="248" t="s">
        <v>514</v>
      </c>
      <c r="J773" s="248" t="s">
        <v>297</v>
      </c>
      <c r="K773" s="249" t="s">
        <v>1677</v>
      </c>
      <c r="L773" s="257" t="s">
        <v>516</v>
      </c>
      <c r="M773" s="249"/>
      <c r="N773" s="249"/>
      <c r="O773" s="249"/>
      <c r="P773" s="249"/>
      <c r="Q773" s="249"/>
      <c r="R773" s="249"/>
      <c r="S773" s="249"/>
      <c r="T773" s="249"/>
      <c r="U773" s="249"/>
      <c r="V773" s="249"/>
    </row>
    <row r="774">
      <c r="A774" s="255" t="s">
        <v>1361</v>
      </c>
      <c r="B774" s="248" t="s">
        <v>75</v>
      </c>
      <c r="C774" s="248" t="s">
        <v>675</v>
      </c>
      <c r="D774" s="248" t="s">
        <v>520</v>
      </c>
      <c r="E774" s="248">
        <v>2688.0</v>
      </c>
      <c r="F774" s="256">
        <v>45132.0</v>
      </c>
      <c r="G774" s="248">
        <v>2023.0</v>
      </c>
      <c r="H774" s="248" t="s">
        <v>546</v>
      </c>
      <c r="I774" s="248" t="s">
        <v>547</v>
      </c>
      <c r="J774" s="248" t="s">
        <v>309</v>
      </c>
      <c r="K774" s="249" t="s">
        <v>1678</v>
      </c>
      <c r="L774" s="257" t="s">
        <v>516</v>
      </c>
      <c r="M774" s="249"/>
      <c r="N774" s="249"/>
      <c r="O774" s="249"/>
      <c r="P774" s="249"/>
      <c r="Q774" s="249"/>
      <c r="R774" s="249"/>
      <c r="S774" s="249"/>
      <c r="T774" s="249"/>
      <c r="U774" s="249"/>
      <c r="V774" s="249"/>
    </row>
    <row r="775">
      <c r="A775" s="255" t="s">
        <v>1679</v>
      </c>
      <c r="B775" s="248" t="s">
        <v>810</v>
      </c>
      <c r="C775" s="248" t="s">
        <v>655</v>
      </c>
      <c r="D775" s="248" t="s">
        <v>512</v>
      </c>
      <c r="E775" s="248">
        <v>310405.0</v>
      </c>
      <c r="F775" s="256">
        <v>45132.0</v>
      </c>
      <c r="G775" s="248">
        <v>2023.0</v>
      </c>
      <c r="H775" s="248" t="s">
        <v>513</v>
      </c>
      <c r="I775" s="248" t="s">
        <v>514</v>
      </c>
      <c r="J775" s="248" t="s">
        <v>297</v>
      </c>
      <c r="K775" s="249" t="s">
        <v>1680</v>
      </c>
      <c r="L775" s="257" t="s">
        <v>516</v>
      </c>
      <c r="M775" s="249"/>
      <c r="N775" s="249"/>
      <c r="O775" s="249"/>
      <c r="P775" s="249"/>
      <c r="Q775" s="249"/>
      <c r="R775" s="249"/>
      <c r="S775" s="249"/>
      <c r="T775" s="249"/>
      <c r="U775" s="249"/>
      <c r="V775" s="249"/>
    </row>
    <row r="776">
      <c r="A776" s="255" t="s">
        <v>1681</v>
      </c>
      <c r="B776" s="248" t="s">
        <v>679</v>
      </c>
      <c r="C776" s="248" t="s">
        <v>663</v>
      </c>
      <c r="D776" s="248" t="s">
        <v>512</v>
      </c>
      <c r="E776" s="248">
        <v>455676.0</v>
      </c>
      <c r="F776" s="256">
        <v>45128.0</v>
      </c>
      <c r="G776" s="248">
        <v>2023.0</v>
      </c>
      <c r="H776" s="248" t="s">
        <v>513</v>
      </c>
      <c r="I776" s="248" t="s">
        <v>514</v>
      </c>
      <c r="J776" s="248" t="s">
        <v>297</v>
      </c>
      <c r="K776" s="249" t="s">
        <v>1682</v>
      </c>
      <c r="L776" s="257" t="s">
        <v>516</v>
      </c>
      <c r="M776" s="249"/>
      <c r="N776" s="249"/>
      <c r="O776" s="249"/>
      <c r="P776" s="249"/>
      <c r="Q776" s="249"/>
      <c r="R776" s="249"/>
      <c r="S776" s="249"/>
      <c r="T776" s="249"/>
      <c r="U776" s="249"/>
      <c r="V776" s="249"/>
    </row>
    <row r="777">
      <c r="A777" s="255" t="s">
        <v>1683</v>
      </c>
      <c r="B777" s="248" t="s">
        <v>688</v>
      </c>
      <c r="C777" s="248" t="s">
        <v>683</v>
      </c>
      <c r="D777" s="248" t="s">
        <v>512</v>
      </c>
      <c r="E777" s="248">
        <v>23433.0</v>
      </c>
      <c r="F777" s="256">
        <v>45126.0</v>
      </c>
      <c r="G777" s="248">
        <v>2023.0</v>
      </c>
      <c r="H777" s="248" t="s">
        <v>513</v>
      </c>
      <c r="I777" s="248" t="s">
        <v>514</v>
      </c>
      <c r="J777" s="248" t="s">
        <v>297</v>
      </c>
      <c r="K777" s="249" t="s">
        <v>1684</v>
      </c>
      <c r="L777" s="257" t="s">
        <v>516</v>
      </c>
      <c r="M777" s="249"/>
      <c r="N777" s="249"/>
      <c r="O777" s="249"/>
      <c r="P777" s="249"/>
      <c r="Q777" s="249"/>
      <c r="R777" s="249"/>
      <c r="S777" s="249"/>
      <c r="T777" s="249"/>
      <c r="U777" s="249"/>
      <c r="V777" s="249"/>
    </row>
    <row r="778">
      <c r="A778" s="255" t="s">
        <v>1685</v>
      </c>
      <c r="B778" s="248" t="s">
        <v>525</v>
      </c>
      <c r="C778" s="248" t="s">
        <v>526</v>
      </c>
      <c r="D778" s="248" t="s">
        <v>520</v>
      </c>
      <c r="E778" s="248">
        <v>1852.0</v>
      </c>
      <c r="F778" s="256">
        <v>45126.0</v>
      </c>
      <c r="G778" s="248">
        <v>2023.0</v>
      </c>
      <c r="H778" s="248" t="s">
        <v>513</v>
      </c>
      <c r="I778" s="248" t="s">
        <v>521</v>
      </c>
      <c r="J778" s="248" t="s">
        <v>309</v>
      </c>
      <c r="K778" s="249" t="s">
        <v>1686</v>
      </c>
      <c r="L778" s="257" t="s">
        <v>516</v>
      </c>
      <c r="M778" s="249"/>
      <c r="N778" s="249"/>
      <c r="O778" s="249"/>
      <c r="P778" s="249"/>
      <c r="Q778" s="249"/>
      <c r="R778" s="249"/>
      <c r="S778" s="249"/>
      <c r="T778" s="249"/>
      <c r="U778" s="249"/>
      <c r="V778" s="249"/>
    </row>
    <row r="779">
      <c r="A779" s="255" t="s">
        <v>1687</v>
      </c>
      <c r="B779" s="248" t="s">
        <v>518</v>
      </c>
      <c r="C779" s="248" t="s">
        <v>519</v>
      </c>
      <c r="D779" s="248" t="s">
        <v>512</v>
      </c>
      <c r="E779" s="248">
        <v>6411.0</v>
      </c>
      <c r="F779" s="256">
        <v>45125.0</v>
      </c>
      <c r="G779" s="248">
        <v>2023.0</v>
      </c>
      <c r="H779" s="248" t="s">
        <v>513</v>
      </c>
      <c r="I779" s="248" t="s">
        <v>514</v>
      </c>
      <c r="J779" s="248" t="s">
        <v>297</v>
      </c>
      <c r="K779" s="249" t="s">
        <v>1688</v>
      </c>
      <c r="L779" s="257" t="s">
        <v>516</v>
      </c>
      <c r="M779" s="249"/>
      <c r="N779" s="249"/>
      <c r="O779" s="249"/>
      <c r="P779" s="249"/>
      <c r="Q779" s="249"/>
      <c r="R779" s="249"/>
      <c r="S779" s="249"/>
      <c r="T779" s="249"/>
      <c r="U779" s="249"/>
      <c r="V779" s="249"/>
    </row>
    <row r="780">
      <c r="A780" s="255" t="s">
        <v>1689</v>
      </c>
      <c r="B780" s="248" t="s">
        <v>530</v>
      </c>
      <c r="C780" s="248" t="s">
        <v>531</v>
      </c>
      <c r="D780" s="248" t="s">
        <v>512</v>
      </c>
      <c r="E780" s="248">
        <v>1119.0</v>
      </c>
      <c r="F780" s="256">
        <v>45124.0</v>
      </c>
      <c r="G780" s="248">
        <v>2023.0</v>
      </c>
      <c r="H780" s="248" t="s">
        <v>546</v>
      </c>
      <c r="I780" s="248" t="s">
        <v>547</v>
      </c>
      <c r="J780" s="248" t="s">
        <v>309</v>
      </c>
      <c r="K780" s="249" t="s">
        <v>1690</v>
      </c>
      <c r="L780" s="257" t="s">
        <v>516</v>
      </c>
      <c r="M780" s="249"/>
      <c r="N780" s="249"/>
      <c r="O780" s="249"/>
      <c r="P780" s="249"/>
      <c r="Q780" s="249"/>
      <c r="R780" s="249"/>
      <c r="S780" s="249"/>
      <c r="T780" s="249"/>
      <c r="U780" s="249"/>
      <c r="V780" s="249"/>
    </row>
    <row r="781">
      <c r="A781" s="255" t="s">
        <v>1691</v>
      </c>
      <c r="B781" s="248" t="s">
        <v>845</v>
      </c>
      <c r="C781" s="248" t="s">
        <v>733</v>
      </c>
      <c r="D781" s="248" t="s">
        <v>512</v>
      </c>
      <c r="E781" s="248">
        <v>235931.0</v>
      </c>
      <c r="F781" s="256">
        <v>45121.0</v>
      </c>
      <c r="G781" s="248">
        <v>2023.0</v>
      </c>
      <c r="H781" s="248" t="s">
        <v>513</v>
      </c>
      <c r="I781" s="248" t="s">
        <v>514</v>
      </c>
      <c r="J781" s="248" t="s">
        <v>297</v>
      </c>
      <c r="K781" s="249" t="s">
        <v>1692</v>
      </c>
      <c r="L781" s="257" t="s">
        <v>516</v>
      </c>
      <c r="M781" s="249"/>
      <c r="N781" s="249"/>
      <c r="O781" s="249"/>
      <c r="P781" s="249"/>
      <c r="Q781" s="249"/>
      <c r="R781" s="249"/>
      <c r="S781" s="249"/>
      <c r="T781" s="249"/>
      <c r="U781" s="249"/>
      <c r="V781" s="249"/>
    </row>
    <row r="782">
      <c r="A782" s="255" t="s">
        <v>1693</v>
      </c>
      <c r="B782" s="248" t="s">
        <v>641</v>
      </c>
      <c r="C782" s="248" t="s">
        <v>633</v>
      </c>
      <c r="D782" s="248" t="s">
        <v>520</v>
      </c>
      <c r="E782" s="248">
        <v>1866694.0</v>
      </c>
      <c r="F782" s="256">
        <v>45121.0</v>
      </c>
      <c r="G782" s="248">
        <v>2023.0</v>
      </c>
      <c r="H782" s="248" t="s">
        <v>513</v>
      </c>
      <c r="I782" s="248" t="s">
        <v>514</v>
      </c>
      <c r="J782" s="248" t="s">
        <v>309</v>
      </c>
      <c r="K782" s="249" t="s">
        <v>1694</v>
      </c>
      <c r="L782" s="257" t="s">
        <v>516</v>
      </c>
      <c r="M782" s="249"/>
      <c r="N782" s="249"/>
      <c r="O782" s="249"/>
      <c r="P782" s="249"/>
      <c r="Q782" s="249"/>
      <c r="R782" s="249"/>
      <c r="S782" s="249"/>
      <c r="T782" s="249"/>
      <c r="U782" s="249"/>
      <c r="V782" s="249"/>
    </row>
    <row r="783">
      <c r="A783" s="255" t="s">
        <v>1695</v>
      </c>
      <c r="B783" s="248" t="s">
        <v>542</v>
      </c>
      <c r="C783" s="248" t="s">
        <v>543</v>
      </c>
      <c r="D783" s="248" t="s">
        <v>512</v>
      </c>
      <c r="E783" s="248">
        <v>6096.0</v>
      </c>
      <c r="F783" s="256">
        <v>45121.0</v>
      </c>
      <c r="G783" s="248">
        <v>2023.0</v>
      </c>
      <c r="H783" s="248" t="s">
        <v>513</v>
      </c>
      <c r="I783" s="248" t="s">
        <v>521</v>
      </c>
      <c r="J783" s="248" t="s">
        <v>297</v>
      </c>
      <c r="K783" s="249" t="s">
        <v>1696</v>
      </c>
      <c r="L783" s="257" t="s">
        <v>516</v>
      </c>
      <c r="M783" s="249"/>
      <c r="N783" s="249"/>
      <c r="O783" s="249"/>
      <c r="P783" s="249"/>
      <c r="Q783" s="249"/>
      <c r="R783" s="249"/>
      <c r="S783" s="249"/>
      <c r="T783" s="249"/>
      <c r="U783" s="249"/>
      <c r="V783" s="249"/>
    </row>
    <row r="784">
      <c r="A784" s="255" t="s">
        <v>1697</v>
      </c>
      <c r="B784" s="248" t="s">
        <v>679</v>
      </c>
      <c r="C784" s="248" t="s">
        <v>663</v>
      </c>
      <c r="D784" s="248" t="s">
        <v>575</v>
      </c>
      <c r="E784" s="248">
        <v>33032.0</v>
      </c>
      <c r="F784" s="256">
        <v>45121.0</v>
      </c>
      <c r="G784" s="248">
        <v>2023.0</v>
      </c>
      <c r="H784" s="248" t="s">
        <v>513</v>
      </c>
      <c r="I784" s="248" t="s">
        <v>514</v>
      </c>
      <c r="J784" s="248" t="s">
        <v>309</v>
      </c>
      <c r="K784" s="249" t="s">
        <v>1698</v>
      </c>
      <c r="L784" s="257" t="s">
        <v>516</v>
      </c>
      <c r="M784" s="249"/>
      <c r="N784" s="249"/>
      <c r="O784" s="249"/>
      <c r="P784" s="249"/>
      <c r="Q784" s="249"/>
      <c r="R784" s="249"/>
      <c r="S784" s="249"/>
      <c r="T784" s="249"/>
      <c r="U784" s="249"/>
      <c r="V784" s="249"/>
    </row>
    <row r="785">
      <c r="A785" s="255" t="s">
        <v>1699</v>
      </c>
      <c r="B785" s="248" t="s">
        <v>748</v>
      </c>
      <c r="C785" s="248" t="s">
        <v>694</v>
      </c>
      <c r="D785" s="248" t="s">
        <v>512</v>
      </c>
      <c r="E785" s="248">
        <v>14221.0</v>
      </c>
      <c r="F785" s="256">
        <v>45121.0</v>
      </c>
      <c r="G785" s="248">
        <v>2023.0</v>
      </c>
      <c r="H785" s="248" t="s">
        <v>513</v>
      </c>
      <c r="I785" s="248" t="s">
        <v>514</v>
      </c>
      <c r="J785" s="248" t="s">
        <v>297</v>
      </c>
      <c r="K785" s="249" t="s">
        <v>1700</v>
      </c>
      <c r="L785" s="257" t="s">
        <v>516</v>
      </c>
      <c r="M785" s="249"/>
      <c r="N785" s="249"/>
      <c r="O785" s="249"/>
      <c r="P785" s="249"/>
      <c r="Q785" s="249"/>
      <c r="R785" s="249"/>
      <c r="S785" s="249"/>
      <c r="T785" s="249"/>
      <c r="U785" s="249"/>
      <c r="V785" s="249"/>
    </row>
    <row r="786">
      <c r="A786" s="255" t="s">
        <v>1701</v>
      </c>
      <c r="B786" s="248" t="s">
        <v>679</v>
      </c>
      <c r="C786" s="248" t="s">
        <v>663</v>
      </c>
      <c r="D786" s="248" t="s">
        <v>575</v>
      </c>
      <c r="E786" s="248">
        <v>3000.0</v>
      </c>
      <c r="F786" s="256">
        <v>45120.0</v>
      </c>
      <c r="G786" s="248">
        <v>2023.0</v>
      </c>
      <c r="H786" s="248" t="s">
        <v>513</v>
      </c>
      <c r="I786" s="248" t="s">
        <v>514</v>
      </c>
      <c r="J786" s="248" t="s">
        <v>309</v>
      </c>
      <c r="K786" s="249" t="s">
        <v>1702</v>
      </c>
      <c r="L786" s="257" t="s">
        <v>516</v>
      </c>
      <c r="M786" s="249"/>
      <c r="N786" s="249"/>
      <c r="O786" s="249"/>
      <c r="P786" s="249"/>
      <c r="Q786" s="249"/>
      <c r="R786" s="249"/>
      <c r="S786" s="249"/>
      <c r="T786" s="249"/>
      <c r="U786" s="249"/>
      <c r="V786" s="249"/>
    </row>
    <row r="787">
      <c r="A787" s="255" t="s">
        <v>1703</v>
      </c>
      <c r="B787" s="248" t="s">
        <v>530</v>
      </c>
      <c r="C787" s="248" t="s">
        <v>531</v>
      </c>
      <c r="D787" s="248" t="s">
        <v>575</v>
      </c>
      <c r="E787" s="248">
        <v>7702.0</v>
      </c>
      <c r="F787" s="256">
        <v>45118.0</v>
      </c>
      <c r="G787" s="248">
        <v>2023.0</v>
      </c>
      <c r="H787" s="248" t="s">
        <v>513</v>
      </c>
      <c r="I787" s="248" t="s">
        <v>514</v>
      </c>
      <c r="J787" s="248" t="s">
        <v>309</v>
      </c>
      <c r="K787" s="249" t="s">
        <v>1704</v>
      </c>
      <c r="L787" s="257" t="s">
        <v>516</v>
      </c>
      <c r="M787" s="249"/>
      <c r="N787" s="249"/>
      <c r="O787" s="249"/>
      <c r="P787" s="249"/>
      <c r="Q787" s="249"/>
      <c r="R787" s="249"/>
      <c r="S787" s="249"/>
      <c r="T787" s="249"/>
      <c r="U787" s="249"/>
      <c r="V787" s="249"/>
    </row>
    <row r="788">
      <c r="A788" s="255" t="s">
        <v>1705</v>
      </c>
      <c r="B788" s="248" t="s">
        <v>748</v>
      </c>
      <c r="C788" s="248" t="s">
        <v>694</v>
      </c>
      <c r="D788" s="248" t="s">
        <v>512</v>
      </c>
      <c r="E788" s="248">
        <v>1541.0</v>
      </c>
      <c r="F788" s="256">
        <v>45118.0</v>
      </c>
      <c r="G788" s="248">
        <v>2023.0</v>
      </c>
      <c r="H788" s="248" t="s">
        <v>546</v>
      </c>
      <c r="I788" s="248" t="s">
        <v>521</v>
      </c>
      <c r="J788" s="248" t="s">
        <v>297</v>
      </c>
      <c r="K788" s="249" t="s">
        <v>1706</v>
      </c>
      <c r="L788" s="257" t="s">
        <v>516</v>
      </c>
      <c r="M788" s="249"/>
      <c r="N788" s="249"/>
      <c r="O788" s="249"/>
      <c r="P788" s="249"/>
      <c r="Q788" s="249"/>
      <c r="R788" s="249"/>
      <c r="S788" s="249"/>
      <c r="T788" s="249"/>
      <c r="U788" s="249"/>
      <c r="V788" s="249"/>
    </row>
    <row r="789">
      <c r="A789" s="255" t="s">
        <v>1707</v>
      </c>
      <c r="B789" s="248" t="s">
        <v>586</v>
      </c>
      <c r="C789" s="248" t="s">
        <v>587</v>
      </c>
      <c r="D789" s="248" t="s">
        <v>520</v>
      </c>
      <c r="E789" s="248">
        <v>20387.0</v>
      </c>
      <c r="F789" s="256">
        <v>45118.0</v>
      </c>
      <c r="G789" s="248">
        <v>2023.0</v>
      </c>
      <c r="H789" s="248" t="s">
        <v>513</v>
      </c>
      <c r="I789" s="248" t="s">
        <v>514</v>
      </c>
      <c r="J789" s="248" t="s">
        <v>309</v>
      </c>
      <c r="K789" s="249" t="s">
        <v>1708</v>
      </c>
      <c r="L789" s="257" t="s">
        <v>516</v>
      </c>
      <c r="M789" s="249"/>
      <c r="N789" s="249"/>
      <c r="O789" s="249"/>
      <c r="P789" s="249"/>
      <c r="Q789" s="249"/>
      <c r="R789" s="249"/>
      <c r="S789" s="249"/>
      <c r="T789" s="249"/>
      <c r="U789" s="249"/>
      <c r="V789" s="249"/>
    </row>
    <row r="790">
      <c r="A790" s="255" t="s">
        <v>1709</v>
      </c>
      <c r="B790" s="248" t="s">
        <v>518</v>
      </c>
      <c r="C790" s="248" t="s">
        <v>519</v>
      </c>
      <c r="D790" s="248" t="s">
        <v>512</v>
      </c>
      <c r="E790" s="248">
        <v>1626.0</v>
      </c>
      <c r="F790" s="256">
        <v>45117.0</v>
      </c>
      <c r="G790" s="248">
        <v>2023.0</v>
      </c>
      <c r="H790" s="248" t="s">
        <v>546</v>
      </c>
      <c r="I790" s="248" t="s">
        <v>521</v>
      </c>
      <c r="J790" s="248" t="s">
        <v>297</v>
      </c>
      <c r="K790" s="249" t="s">
        <v>1710</v>
      </c>
      <c r="L790" s="257" t="s">
        <v>516</v>
      </c>
      <c r="M790" s="249"/>
      <c r="N790" s="249"/>
      <c r="O790" s="249"/>
      <c r="P790" s="249"/>
      <c r="Q790" s="249"/>
      <c r="R790" s="249"/>
      <c r="S790" s="249"/>
      <c r="T790" s="249"/>
      <c r="U790" s="249"/>
      <c r="V790" s="249"/>
    </row>
    <row r="791">
      <c r="A791" s="255" t="s">
        <v>1711</v>
      </c>
      <c r="B791" s="248" t="s">
        <v>815</v>
      </c>
      <c r="C791" s="248" t="s">
        <v>728</v>
      </c>
      <c r="D791" s="248" t="s">
        <v>512</v>
      </c>
      <c r="E791" s="248">
        <v>2500000.0</v>
      </c>
      <c r="F791" s="256">
        <v>45114.0</v>
      </c>
      <c r="G791" s="248">
        <v>2023.0</v>
      </c>
      <c r="H791" s="248" t="s">
        <v>513</v>
      </c>
      <c r="I791" s="248" t="s">
        <v>514</v>
      </c>
      <c r="J791" s="248" t="s">
        <v>297</v>
      </c>
      <c r="K791" s="249" t="s">
        <v>1712</v>
      </c>
      <c r="L791" s="257" t="s">
        <v>516</v>
      </c>
      <c r="M791" s="249"/>
      <c r="N791" s="249"/>
      <c r="O791" s="249"/>
      <c r="P791" s="249"/>
      <c r="Q791" s="249"/>
      <c r="R791" s="249"/>
      <c r="S791" s="249"/>
      <c r="T791" s="249"/>
      <c r="U791" s="249"/>
      <c r="V791" s="249"/>
    </row>
    <row r="792">
      <c r="A792" s="255" t="s">
        <v>1713</v>
      </c>
      <c r="B792" s="248" t="s">
        <v>542</v>
      </c>
      <c r="C792" s="248" t="s">
        <v>543</v>
      </c>
      <c r="D792" s="248" t="s">
        <v>520</v>
      </c>
      <c r="E792" s="248">
        <v>6700.0</v>
      </c>
      <c r="F792" s="256">
        <v>45113.0</v>
      </c>
      <c r="G792" s="248">
        <v>2023.0</v>
      </c>
      <c r="H792" s="248" t="s">
        <v>513</v>
      </c>
      <c r="I792" s="248" t="s">
        <v>514</v>
      </c>
      <c r="J792" s="248" t="s">
        <v>309</v>
      </c>
      <c r="K792" s="249" t="s">
        <v>1714</v>
      </c>
      <c r="L792" s="257" t="s">
        <v>516</v>
      </c>
      <c r="M792" s="249"/>
      <c r="N792" s="249"/>
      <c r="O792" s="249"/>
      <c r="P792" s="249"/>
      <c r="Q792" s="249"/>
      <c r="R792" s="249"/>
      <c r="S792" s="249"/>
      <c r="T792" s="249"/>
      <c r="U792" s="249"/>
      <c r="V792" s="249"/>
    </row>
    <row r="793">
      <c r="A793" s="255" t="s">
        <v>1715</v>
      </c>
      <c r="B793" s="248" t="s">
        <v>518</v>
      </c>
      <c r="C793" s="248" t="s">
        <v>519</v>
      </c>
      <c r="D793" s="248" t="s">
        <v>512</v>
      </c>
      <c r="E793" s="248">
        <v>163532.0</v>
      </c>
      <c r="F793" s="256">
        <v>45112.0</v>
      </c>
      <c r="G793" s="248">
        <v>2023.0</v>
      </c>
      <c r="H793" s="248" t="s">
        <v>513</v>
      </c>
      <c r="I793" s="248" t="s">
        <v>514</v>
      </c>
      <c r="J793" s="248" t="s">
        <v>297</v>
      </c>
      <c r="K793" s="249" t="s">
        <v>1716</v>
      </c>
      <c r="L793" s="257" t="s">
        <v>516</v>
      </c>
      <c r="M793" s="249"/>
      <c r="N793" s="249"/>
      <c r="O793" s="249"/>
      <c r="P793" s="249"/>
      <c r="Q793" s="249"/>
      <c r="R793" s="249"/>
      <c r="S793" s="249"/>
      <c r="T793" s="249"/>
      <c r="U793" s="249"/>
      <c r="V793" s="249"/>
    </row>
    <row r="794">
      <c r="A794" s="255" t="s">
        <v>1717</v>
      </c>
      <c r="B794" s="248" t="s">
        <v>1189</v>
      </c>
      <c r="C794" s="248" t="s">
        <v>666</v>
      </c>
      <c r="D794" s="248" t="s">
        <v>512</v>
      </c>
      <c r="E794" s="248">
        <v>441903.0</v>
      </c>
      <c r="F794" s="256">
        <v>45110.0</v>
      </c>
      <c r="G794" s="248">
        <v>2023.0</v>
      </c>
      <c r="H794" s="248" t="s">
        <v>513</v>
      </c>
      <c r="I794" s="248" t="s">
        <v>514</v>
      </c>
      <c r="J794" s="248" t="s">
        <v>297</v>
      </c>
      <c r="K794" s="249" t="s">
        <v>1718</v>
      </c>
      <c r="L794" s="257" t="s">
        <v>516</v>
      </c>
      <c r="M794" s="249"/>
      <c r="N794" s="249"/>
      <c r="O794" s="249"/>
      <c r="P794" s="249"/>
      <c r="Q794" s="249"/>
      <c r="R794" s="249"/>
      <c r="S794" s="249"/>
      <c r="T794" s="249"/>
      <c r="U794" s="249"/>
      <c r="V794" s="249"/>
    </row>
    <row r="795">
      <c r="A795" s="255" t="s">
        <v>1719</v>
      </c>
      <c r="B795" s="248" t="s">
        <v>518</v>
      </c>
      <c r="C795" s="248" t="s">
        <v>519</v>
      </c>
      <c r="D795" s="248" t="s">
        <v>575</v>
      </c>
      <c r="E795" s="248">
        <v>2632.0</v>
      </c>
      <c r="F795" s="256">
        <v>45107.0</v>
      </c>
      <c r="G795" s="248">
        <v>2023.0</v>
      </c>
      <c r="H795" s="248" t="s">
        <v>546</v>
      </c>
      <c r="I795" s="248" t="s">
        <v>514</v>
      </c>
      <c r="J795" s="248" t="s">
        <v>297</v>
      </c>
      <c r="K795" s="249" t="s">
        <v>1720</v>
      </c>
      <c r="L795" s="257" t="s">
        <v>516</v>
      </c>
      <c r="M795" s="249"/>
      <c r="N795" s="249"/>
      <c r="O795" s="249"/>
      <c r="P795" s="249"/>
      <c r="Q795" s="249"/>
      <c r="R795" s="249"/>
      <c r="S795" s="249"/>
      <c r="T795" s="249"/>
      <c r="U795" s="249"/>
      <c r="V795" s="249"/>
    </row>
    <row r="796">
      <c r="A796" s="255" t="s">
        <v>1721</v>
      </c>
      <c r="B796" s="248" t="s">
        <v>530</v>
      </c>
      <c r="C796" s="248" t="s">
        <v>531</v>
      </c>
      <c r="D796" s="248" t="s">
        <v>512</v>
      </c>
      <c r="E796" s="248">
        <v>269847.0</v>
      </c>
      <c r="F796" s="256">
        <v>45107.0</v>
      </c>
      <c r="G796" s="248">
        <v>2023.0</v>
      </c>
      <c r="H796" s="248" t="s">
        <v>513</v>
      </c>
      <c r="I796" s="248" t="s">
        <v>514</v>
      </c>
      <c r="J796" s="248" t="s">
        <v>297</v>
      </c>
      <c r="K796" s="249" t="s">
        <v>1722</v>
      </c>
      <c r="L796" s="257" t="s">
        <v>516</v>
      </c>
      <c r="M796" s="249"/>
      <c r="N796" s="249"/>
      <c r="O796" s="249"/>
      <c r="P796" s="249"/>
      <c r="Q796" s="249"/>
      <c r="R796" s="249"/>
      <c r="S796" s="249"/>
      <c r="T796" s="249"/>
      <c r="U796" s="249"/>
      <c r="V796" s="249"/>
    </row>
    <row r="797">
      <c r="A797" s="255" t="s">
        <v>1723</v>
      </c>
      <c r="B797" s="248" t="s">
        <v>688</v>
      </c>
      <c r="C797" s="248" t="s">
        <v>683</v>
      </c>
      <c r="D797" s="248" t="s">
        <v>520</v>
      </c>
      <c r="E797" s="248">
        <v>132807.0</v>
      </c>
      <c r="F797" s="256">
        <v>45107.0</v>
      </c>
      <c r="G797" s="248">
        <v>2023.0</v>
      </c>
      <c r="H797" s="248" t="s">
        <v>513</v>
      </c>
      <c r="I797" s="248" t="s">
        <v>514</v>
      </c>
      <c r="J797" s="248" t="s">
        <v>309</v>
      </c>
      <c r="K797" s="249" t="s">
        <v>1724</v>
      </c>
      <c r="L797" s="257" t="s">
        <v>516</v>
      </c>
      <c r="M797" s="249"/>
      <c r="N797" s="249"/>
      <c r="O797" s="249"/>
      <c r="P797" s="249"/>
      <c r="Q797" s="249"/>
      <c r="R797" s="249"/>
      <c r="S797" s="249"/>
      <c r="T797" s="249"/>
      <c r="U797" s="249"/>
      <c r="V797" s="249"/>
    </row>
    <row r="798">
      <c r="A798" s="255" t="s">
        <v>1725</v>
      </c>
      <c r="B798" s="248" t="s">
        <v>530</v>
      </c>
      <c r="C798" s="248" t="s">
        <v>531</v>
      </c>
      <c r="D798" s="248" t="s">
        <v>520</v>
      </c>
      <c r="E798" s="248">
        <v>342176.0</v>
      </c>
      <c r="F798" s="256">
        <v>45107.0</v>
      </c>
      <c r="G798" s="248">
        <v>2023.0</v>
      </c>
      <c r="H798" s="248" t="s">
        <v>513</v>
      </c>
      <c r="I798" s="248" t="s">
        <v>514</v>
      </c>
      <c r="J798" s="248" t="s">
        <v>309</v>
      </c>
      <c r="K798" s="249" t="s">
        <v>1726</v>
      </c>
      <c r="L798" s="257" t="s">
        <v>516</v>
      </c>
      <c r="M798" s="249"/>
      <c r="N798" s="249"/>
      <c r="O798" s="249"/>
      <c r="P798" s="249"/>
      <c r="Q798" s="249"/>
      <c r="R798" s="249"/>
      <c r="S798" s="249"/>
      <c r="T798" s="249"/>
      <c r="U798" s="249"/>
      <c r="V798" s="249"/>
    </row>
    <row r="799">
      <c r="A799" s="255" t="s">
        <v>1727</v>
      </c>
      <c r="B799" s="248" t="s">
        <v>688</v>
      </c>
      <c r="C799" s="248" t="s">
        <v>683</v>
      </c>
      <c r="D799" s="248" t="s">
        <v>512</v>
      </c>
      <c r="E799" s="248">
        <v>2220.0</v>
      </c>
      <c r="F799" s="256">
        <v>45107.0</v>
      </c>
      <c r="G799" s="248">
        <v>2023.0</v>
      </c>
      <c r="H799" s="248" t="s">
        <v>513</v>
      </c>
      <c r="I799" s="248" t="s">
        <v>514</v>
      </c>
      <c r="J799" s="248" t="s">
        <v>297</v>
      </c>
      <c r="K799" s="249" t="s">
        <v>1728</v>
      </c>
      <c r="L799" s="257" t="s">
        <v>516</v>
      </c>
      <c r="M799" s="249"/>
      <c r="N799" s="249"/>
      <c r="O799" s="249"/>
      <c r="P799" s="249"/>
      <c r="Q799" s="249"/>
      <c r="R799" s="249"/>
      <c r="S799" s="249"/>
      <c r="T799" s="249"/>
      <c r="U799" s="249"/>
      <c r="V799" s="249"/>
    </row>
    <row r="800">
      <c r="A800" s="255" t="s">
        <v>1729</v>
      </c>
      <c r="B800" s="248" t="s">
        <v>966</v>
      </c>
      <c r="C800" s="248" t="s">
        <v>737</v>
      </c>
      <c r="D800" s="248" t="s">
        <v>512</v>
      </c>
      <c r="E800" s="248">
        <v>8331.0</v>
      </c>
      <c r="F800" s="256">
        <v>45106.0</v>
      </c>
      <c r="G800" s="248">
        <v>2023.0</v>
      </c>
      <c r="H800" s="248" t="s">
        <v>546</v>
      </c>
      <c r="I800" s="248" t="s">
        <v>521</v>
      </c>
      <c r="J800" s="248" t="s">
        <v>297</v>
      </c>
      <c r="K800" s="249" t="s">
        <v>1730</v>
      </c>
      <c r="L800" s="257" t="s">
        <v>516</v>
      </c>
      <c r="M800" s="249"/>
      <c r="N800" s="249"/>
      <c r="O800" s="249"/>
      <c r="P800" s="249"/>
      <c r="Q800" s="249"/>
      <c r="R800" s="249"/>
      <c r="S800" s="249"/>
      <c r="T800" s="249"/>
      <c r="U800" s="249"/>
      <c r="V800" s="249"/>
    </row>
    <row r="801">
      <c r="A801" s="255" t="s">
        <v>1731</v>
      </c>
      <c r="B801" s="248" t="s">
        <v>641</v>
      </c>
      <c r="C801" s="248" t="s">
        <v>633</v>
      </c>
      <c r="D801" s="248" t="s">
        <v>512</v>
      </c>
      <c r="E801" s="248">
        <v>1413.0</v>
      </c>
      <c r="F801" s="256">
        <v>45104.0</v>
      </c>
      <c r="G801" s="248">
        <v>2023.0</v>
      </c>
      <c r="H801" s="248" t="s">
        <v>513</v>
      </c>
      <c r="I801" s="248" t="s">
        <v>521</v>
      </c>
      <c r="J801" s="248" t="s">
        <v>297</v>
      </c>
      <c r="K801" s="249" t="s">
        <v>1732</v>
      </c>
      <c r="L801" s="257" t="s">
        <v>516</v>
      </c>
      <c r="M801" s="249"/>
      <c r="N801" s="249"/>
      <c r="O801" s="249"/>
      <c r="P801" s="249"/>
      <c r="Q801" s="249"/>
      <c r="R801" s="249"/>
      <c r="S801" s="249"/>
      <c r="T801" s="249"/>
      <c r="U801" s="249"/>
      <c r="V801" s="249"/>
    </row>
    <row r="802">
      <c r="A802" s="255" t="s">
        <v>1733</v>
      </c>
      <c r="B802" s="248" t="s">
        <v>590</v>
      </c>
      <c r="C802" s="248" t="s">
        <v>591</v>
      </c>
      <c r="D802" s="248" t="s">
        <v>512</v>
      </c>
      <c r="E802" s="248">
        <v>40195.0</v>
      </c>
      <c r="F802" s="256">
        <v>45103.0</v>
      </c>
      <c r="G802" s="248">
        <v>2023.0</v>
      </c>
      <c r="H802" s="248" t="s">
        <v>513</v>
      </c>
      <c r="I802" s="248" t="s">
        <v>514</v>
      </c>
      <c r="J802" s="248" t="s">
        <v>297</v>
      </c>
      <c r="K802" s="249" t="s">
        <v>1734</v>
      </c>
      <c r="L802" s="257" t="s">
        <v>516</v>
      </c>
      <c r="M802" s="249"/>
      <c r="N802" s="249"/>
      <c r="O802" s="249"/>
      <c r="P802" s="249"/>
      <c r="Q802" s="249"/>
      <c r="R802" s="249"/>
      <c r="S802" s="249"/>
      <c r="T802" s="249"/>
      <c r="U802" s="249"/>
      <c r="V802" s="249"/>
    </row>
    <row r="803">
      <c r="A803" s="255" t="s">
        <v>1735</v>
      </c>
      <c r="B803" s="248" t="s">
        <v>688</v>
      </c>
      <c r="C803" s="248" t="s">
        <v>683</v>
      </c>
      <c r="D803" s="248" t="s">
        <v>512</v>
      </c>
      <c r="E803" s="248">
        <v>1533.0</v>
      </c>
      <c r="F803" s="256">
        <v>45103.0</v>
      </c>
      <c r="G803" s="248">
        <v>2023.0</v>
      </c>
      <c r="H803" s="248" t="s">
        <v>513</v>
      </c>
      <c r="I803" s="248" t="s">
        <v>514</v>
      </c>
      <c r="J803" s="248" t="s">
        <v>309</v>
      </c>
      <c r="K803" s="249" t="s">
        <v>1736</v>
      </c>
      <c r="L803" s="257" t="s">
        <v>516</v>
      </c>
      <c r="M803" s="249"/>
      <c r="N803" s="249"/>
      <c r="O803" s="249"/>
      <c r="P803" s="249"/>
      <c r="Q803" s="249"/>
      <c r="R803" s="249"/>
      <c r="S803" s="249"/>
      <c r="T803" s="249"/>
      <c r="U803" s="249"/>
      <c r="V803" s="249"/>
    </row>
    <row r="804">
      <c r="A804" s="255" t="s">
        <v>1737</v>
      </c>
      <c r="B804" s="248" t="s">
        <v>688</v>
      </c>
      <c r="C804" s="248" t="s">
        <v>683</v>
      </c>
      <c r="D804" s="248" t="s">
        <v>512</v>
      </c>
      <c r="E804" s="248">
        <v>5057.0</v>
      </c>
      <c r="F804" s="256">
        <v>45100.0</v>
      </c>
      <c r="G804" s="248">
        <v>2023.0</v>
      </c>
      <c r="H804" s="248" t="s">
        <v>513</v>
      </c>
      <c r="I804" s="248" t="s">
        <v>514</v>
      </c>
      <c r="J804" s="248" t="s">
        <v>297</v>
      </c>
      <c r="K804" s="249" t="s">
        <v>1738</v>
      </c>
      <c r="L804" s="257" t="s">
        <v>516</v>
      </c>
      <c r="M804" s="249"/>
      <c r="N804" s="249"/>
      <c r="O804" s="249"/>
      <c r="P804" s="249"/>
      <c r="Q804" s="249"/>
      <c r="R804" s="249"/>
      <c r="S804" s="249"/>
      <c r="T804" s="249"/>
      <c r="U804" s="249"/>
      <c r="V804" s="249"/>
    </row>
    <row r="805">
      <c r="A805" s="255" t="s">
        <v>1739</v>
      </c>
      <c r="B805" s="248" t="s">
        <v>688</v>
      </c>
      <c r="C805" s="248" t="s">
        <v>683</v>
      </c>
      <c r="D805" s="248" t="s">
        <v>512</v>
      </c>
      <c r="E805" s="248">
        <v>3660.0</v>
      </c>
      <c r="F805" s="256">
        <v>45100.0</v>
      </c>
      <c r="G805" s="248">
        <v>2023.0</v>
      </c>
      <c r="H805" s="248" t="s">
        <v>513</v>
      </c>
      <c r="I805" s="248" t="s">
        <v>514</v>
      </c>
      <c r="J805" s="248" t="s">
        <v>297</v>
      </c>
      <c r="K805" s="249" t="s">
        <v>1740</v>
      </c>
      <c r="L805" s="257" t="s">
        <v>516</v>
      </c>
      <c r="M805" s="249"/>
      <c r="N805" s="249"/>
      <c r="O805" s="249"/>
      <c r="P805" s="249"/>
      <c r="Q805" s="249"/>
      <c r="R805" s="249"/>
      <c r="S805" s="249"/>
      <c r="T805" s="249"/>
      <c r="U805" s="249"/>
      <c r="V805" s="249"/>
    </row>
    <row r="806">
      <c r="A806" s="255" t="s">
        <v>1741</v>
      </c>
      <c r="B806" s="248" t="s">
        <v>705</v>
      </c>
      <c r="C806" s="248" t="s">
        <v>706</v>
      </c>
      <c r="D806" s="248" t="s">
        <v>512</v>
      </c>
      <c r="E806" s="248">
        <v>1230.0</v>
      </c>
      <c r="F806" s="256">
        <v>45100.0</v>
      </c>
      <c r="G806" s="248">
        <v>2023.0</v>
      </c>
      <c r="H806" s="248" t="s">
        <v>546</v>
      </c>
      <c r="I806" s="248" t="s">
        <v>561</v>
      </c>
      <c r="J806" s="248" t="s">
        <v>297</v>
      </c>
      <c r="K806" s="249" t="s">
        <v>1742</v>
      </c>
      <c r="L806" s="257" t="s">
        <v>516</v>
      </c>
      <c r="M806" s="249"/>
      <c r="N806" s="249"/>
      <c r="O806" s="249"/>
      <c r="P806" s="249"/>
      <c r="Q806" s="249"/>
      <c r="R806" s="249"/>
      <c r="S806" s="249"/>
      <c r="T806" s="249"/>
      <c r="U806" s="249"/>
      <c r="V806" s="249"/>
    </row>
    <row r="807">
      <c r="A807" s="255" t="s">
        <v>1743</v>
      </c>
      <c r="B807" s="248" t="s">
        <v>688</v>
      </c>
      <c r="C807" s="248" t="s">
        <v>683</v>
      </c>
      <c r="D807" s="248" t="s">
        <v>575</v>
      </c>
      <c r="E807" s="248">
        <v>1392.0</v>
      </c>
      <c r="F807" s="256">
        <v>45099.0</v>
      </c>
      <c r="G807" s="248">
        <v>2023.0</v>
      </c>
      <c r="H807" s="248" t="s">
        <v>513</v>
      </c>
      <c r="I807" s="248" t="s">
        <v>514</v>
      </c>
      <c r="J807" s="248" t="s">
        <v>297</v>
      </c>
      <c r="K807" s="249" t="s">
        <v>1744</v>
      </c>
      <c r="L807" s="257" t="s">
        <v>516</v>
      </c>
      <c r="M807" s="249"/>
      <c r="N807" s="249"/>
      <c r="O807" s="249"/>
      <c r="P807" s="249"/>
      <c r="Q807" s="249"/>
      <c r="R807" s="249"/>
      <c r="S807" s="249"/>
      <c r="T807" s="249"/>
      <c r="U807" s="249"/>
      <c r="V807" s="249"/>
    </row>
    <row r="808">
      <c r="A808" s="255" t="s">
        <v>1745</v>
      </c>
      <c r="B808" s="248" t="s">
        <v>518</v>
      </c>
      <c r="C808" s="248" t="s">
        <v>519</v>
      </c>
      <c r="D808" s="248" t="s">
        <v>512</v>
      </c>
      <c r="E808" s="248">
        <v>6848.0</v>
      </c>
      <c r="F808" s="256">
        <v>45097.0</v>
      </c>
      <c r="G808" s="248">
        <v>2023.0</v>
      </c>
      <c r="H808" s="248" t="s">
        <v>513</v>
      </c>
      <c r="I808" s="248" t="s">
        <v>521</v>
      </c>
      <c r="J808" s="248" t="s">
        <v>297</v>
      </c>
      <c r="K808" s="249" t="s">
        <v>1746</v>
      </c>
      <c r="L808" s="257" t="s">
        <v>516</v>
      </c>
      <c r="M808" s="249"/>
      <c r="N808" s="249"/>
      <c r="O808" s="249"/>
      <c r="P808" s="249"/>
      <c r="Q808" s="249"/>
      <c r="R808" s="249"/>
      <c r="S808" s="249"/>
      <c r="T808" s="249"/>
      <c r="U808" s="249"/>
      <c r="V808" s="249"/>
    </row>
    <row r="809">
      <c r="A809" s="255" t="s">
        <v>1747</v>
      </c>
      <c r="B809" s="248" t="s">
        <v>530</v>
      </c>
      <c r="C809" s="248" t="s">
        <v>531</v>
      </c>
      <c r="D809" s="248" t="s">
        <v>512</v>
      </c>
      <c r="E809" s="248">
        <v>31104.0</v>
      </c>
      <c r="F809" s="256">
        <v>45097.0</v>
      </c>
      <c r="G809" s="248">
        <v>2023.0</v>
      </c>
      <c r="H809" s="248" t="s">
        <v>513</v>
      </c>
      <c r="I809" s="248" t="s">
        <v>514</v>
      </c>
      <c r="J809" s="248" t="s">
        <v>297</v>
      </c>
      <c r="K809" s="249" t="s">
        <v>1748</v>
      </c>
      <c r="L809" s="257" t="s">
        <v>516</v>
      </c>
      <c r="M809" s="249"/>
      <c r="N809" s="249"/>
      <c r="O809" s="249"/>
      <c r="P809" s="249"/>
      <c r="Q809" s="249"/>
      <c r="R809" s="249"/>
      <c r="S809" s="249"/>
      <c r="T809" s="249"/>
      <c r="U809" s="249"/>
      <c r="V809" s="249"/>
    </row>
    <row r="810">
      <c r="A810" s="255" t="s">
        <v>1749</v>
      </c>
      <c r="B810" s="248" t="s">
        <v>573</v>
      </c>
      <c r="C810" s="248" t="s">
        <v>574</v>
      </c>
      <c r="D810" s="248" t="s">
        <v>512</v>
      </c>
      <c r="E810" s="248">
        <v>1085.0</v>
      </c>
      <c r="F810" s="256">
        <v>45097.0</v>
      </c>
      <c r="G810" s="248">
        <v>2023.0</v>
      </c>
      <c r="H810" s="248" t="s">
        <v>546</v>
      </c>
      <c r="I810" s="248" t="s">
        <v>521</v>
      </c>
      <c r="J810" s="248" t="s">
        <v>297</v>
      </c>
      <c r="K810" s="249" t="s">
        <v>1750</v>
      </c>
      <c r="L810" s="257" t="s">
        <v>516</v>
      </c>
      <c r="M810" s="249"/>
      <c r="N810" s="249"/>
      <c r="O810" s="249"/>
      <c r="P810" s="249"/>
      <c r="Q810" s="249"/>
      <c r="R810" s="249"/>
      <c r="S810" s="249"/>
      <c r="T810" s="249"/>
      <c r="U810" s="249"/>
      <c r="V810" s="249"/>
    </row>
    <row r="811">
      <c r="A811" s="255" t="s">
        <v>1751</v>
      </c>
      <c r="B811" s="248" t="s">
        <v>595</v>
      </c>
      <c r="C811" s="248" t="s">
        <v>596</v>
      </c>
      <c r="D811" s="248" t="s">
        <v>520</v>
      </c>
      <c r="E811" s="248">
        <v>109210.0</v>
      </c>
      <c r="F811" s="256">
        <v>45097.0</v>
      </c>
      <c r="G811" s="248">
        <v>2023.0</v>
      </c>
      <c r="H811" s="248" t="s">
        <v>513</v>
      </c>
      <c r="I811" s="248" t="s">
        <v>514</v>
      </c>
      <c r="J811" s="248" t="s">
        <v>309</v>
      </c>
      <c r="K811" s="249" t="s">
        <v>1752</v>
      </c>
      <c r="L811" s="257" t="s">
        <v>516</v>
      </c>
      <c r="M811" s="249"/>
      <c r="N811" s="249"/>
      <c r="O811" s="249"/>
      <c r="P811" s="249"/>
      <c r="Q811" s="249"/>
      <c r="R811" s="249"/>
      <c r="S811" s="249"/>
      <c r="T811" s="249"/>
      <c r="U811" s="249"/>
      <c r="V811" s="249"/>
    </row>
    <row r="812">
      <c r="A812" s="255" t="s">
        <v>1753</v>
      </c>
      <c r="B812" s="248" t="s">
        <v>688</v>
      </c>
      <c r="C812" s="248" t="s">
        <v>683</v>
      </c>
      <c r="D812" s="248" t="s">
        <v>512</v>
      </c>
      <c r="E812" s="248">
        <v>5000.0</v>
      </c>
      <c r="F812" s="256">
        <v>45097.0</v>
      </c>
      <c r="G812" s="248">
        <v>2023.0</v>
      </c>
      <c r="H812" s="248" t="s">
        <v>513</v>
      </c>
      <c r="I812" s="248" t="s">
        <v>514</v>
      </c>
      <c r="J812" s="248" t="s">
        <v>297</v>
      </c>
      <c r="K812" s="249" t="s">
        <v>1754</v>
      </c>
      <c r="L812" s="257" t="s">
        <v>516</v>
      </c>
      <c r="M812" s="249"/>
      <c r="N812" s="249"/>
      <c r="O812" s="249"/>
      <c r="P812" s="249"/>
      <c r="Q812" s="249"/>
      <c r="R812" s="249"/>
      <c r="S812" s="249"/>
      <c r="T812" s="249"/>
      <c r="U812" s="249"/>
      <c r="V812" s="249"/>
    </row>
    <row r="813">
      <c r="A813" s="255" t="s">
        <v>1755</v>
      </c>
      <c r="B813" s="248" t="s">
        <v>688</v>
      </c>
      <c r="C813" s="248" t="s">
        <v>683</v>
      </c>
      <c r="D813" s="248" t="s">
        <v>512</v>
      </c>
      <c r="E813" s="248">
        <v>5000.0</v>
      </c>
      <c r="F813" s="256">
        <v>45097.0</v>
      </c>
      <c r="G813" s="248">
        <v>2023.0</v>
      </c>
      <c r="H813" s="248" t="s">
        <v>513</v>
      </c>
      <c r="I813" s="248" t="s">
        <v>514</v>
      </c>
      <c r="J813" s="248" t="s">
        <v>297</v>
      </c>
      <c r="K813" s="249" t="s">
        <v>1756</v>
      </c>
      <c r="L813" s="257" t="s">
        <v>516</v>
      </c>
      <c r="M813" s="249"/>
      <c r="N813" s="249"/>
      <c r="O813" s="249"/>
      <c r="P813" s="249"/>
      <c r="Q813" s="249"/>
      <c r="R813" s="249"/>
      <c r="S813" s="249"/>
      <c r="T813" s="249"/>
      <c r="U813" s="249"/>
      <c r="V813" s="249"/>
    </row>
    <row r="814">
      <c r="A814" s="255" t="s">
        <v>1757</v>
      </c>
      <c r="B814" s="248" t="s">
        <v>688</v>
      </c>
      <c r="C814" s="248" t="s">
        <v>683</v>
      </c>
      <c r="D814" s="248" t="s">
        <v>512</v>
      </c>
      <c r="E814" s="248">
        <v>5000.0</v>
      </c>
      <c r="F814" s="256">
        <v>45097.0</v>
      </c>
      <c r="G814" s="248">
        <v>2023.0</v>
      </c>
      <c r="H814" s="248" t="s">
        <v>513</v>
      </c>
      <c r="I814" s="248" t="s">
        <v>514</v>
      </c>
      <c r="J814" s="248" t="s">
        <v>297</v>
      </c>
      <c r="K814" s="249" t="s">
        <v>1758</v>
      </c>
      <c r="L814" s="257" t="s">
        <v>516</v>
      </c>
      <c r="M814" s="249"/>
      <c r="N814" s="249"/>
      <c r="O814" s="249"/>
      <c r="P814" s="249"/>
      <c r="Q814" s="249"/>
      <c r="R814" s="249"/>
      <c r="S814" s="249"/>
      <c r="T814" s="249"/>
      <c r="U814" s="249"/>
      <c r="V814" s="249"/>
    </row>
    <row r="815">
      <c r="A815" s="255" t="s">
        <v>1759</v>
      </c>
      <c r="B815" s="248" t="s">
        <v>688</v>
      </c>
      <c r="C815" s="248" t="s">
        <v>683</v>
      </c>
      <c r="D815" s="249"/>
      <c r="E815" s="248">
        <v>10000.0</v>
      </c>
      <c r="F815" s="256">
        <v>45097.0</v>
      </c>
      <c r="G815" s="248">
        <v>2023.0</v>
      </c>
      <c r="H815" s="248" t="s">
        <v>513</v>
      </c>
      <c r="I815" s="248" t="s">
        <v>514</v>
      </c>
      <c r="J815" s="248" t="s">
        <v>297</v>
      </c>
      <c r="K815" s="249" t="s">
        <v>1760</v>
      </c>
      <c r="L815" s="257" t="s">
        <v>516</v>
      </c>
      <c r="M815" s="249"/>
      <c r="N815" s="249"/>
      <c r="O815" s="249"/>
      <c r="P815" s="249"/>
      <c r="Q815" s="249"/>
      <c r="R815" s="249"/>
      <c r="S815" s="249"/>
      <c r="T815" s="249"/>
      <c r="U815" s="249"/>
      <c r="V815" s="249"/>
    </row>
    <row r="816">
      <c r="A816" s="255" t="s">
        <v>1761</v>
      </c>
      <c r="B816" s="248" t="s">
        <v>518</v>
      </c>
      <c r="C816" s="248" t="s">
        <v>519</v>
      </c>
      <c r="D816" s="248" t="s">
        <v>512</v>
      </c>
      <c r="E816" s="248">
        <v>2656.0</v>
      </c>
      <c r="F816" s="256">
        <v>45093.0</v>
      </c>
      <c r="G816" s="248">
        <v>2023.0</v>
      </c>
      <c r="H816" s="248" t="s">
        <v>513</v>
      </c>
      <c r="I816" s="248" t="s">
        <v>521</v>
      </c>
      <c r="J816" s="248" t="s">
        <v>297</v>
      </c>
      <c r="K816" s="249" t="s">
        <v>1762</v>
      </c>
      <c r="L816" s="257" t="s">
        <v>516</v>
      </c>
      <c r="M816" s="249"/>
      <c r="N816" s="249"/>
      <c r="O816" s="249"/>
      <c r="P816" s="249"/>
      <c r="Q816" s="249"/>
      <c r="R816" s="249"/>
      <c r="S816" s="249"/>
      <c r="T816" s="249"/>
      <c r="U816" s="249"/>
      <c r="V816" s="249"/>
    </row>
    <row r="817">
      <c r="A817" s="255" t="s">
        <v>814</v>
      </c>
      <c r="B817" s="248" t="s">
        <v>815</v>
      </c>
      <c r="C817" s="248" t="s">
        <v>728</v>
      </c>
      <c r="D817" s="248" t="s">
        <v>575</v>
      </c>
      <c r="E817" s="248">
        <v>9372.0</v>
      </c>
      <c r="F817" s="256">
        <v>45092.0</v>
      </c>
      <c r="G817" s="248">
        <v>2023.0</v>
      </c>
      <c r="H817" s="248" t="s">
        <v>546</v>
      </c>
      <c r="I817" s="248" t="s">
        <v>547</v>
      </c>
      <c r="J817" s="248" t="s">
        <v>297</v>
      </c>
      <c r="K817" s="249" t="s">
        <v>1763</v>
      </c>
      <c r="L817" s="257" t="s">
        <v>516</v>
      </c>
      <c r="M817" s="249"/>
      <c r="N817" s="249"/>
      <c r="O817" s="249"/>
      <c r="P817" s="249"/>
      <c r="Q817" s="249"/>
      <c r="R817" s="249"/>
      <c r="S817" s="249"/>
      <c r="T817" s="249"/>
      <c r="U817" s="249"/>
      <c r="V817" s="249"/>
    </row>
    <row r="818">
      <c r="A818" s="255" t="s">
        <v>1764</v>
      </c>
      <c r="B818" s="248" t="s">
        <v>679</v>
      </c>
      <c r="C818" s="248" t="s">
        <v>663</v>
      </c>
      <c r="D818" s="248" t="s">
        <v>575</v>
      </c>
      <c r="E818" s="248">
        <v>5973.0</v>
      </c>
      <c r="F818" s="256">
        <v>45092.0</v>
      </c>
      <c r="G818" s="248">
        <v>2023.0</v>
      </c>
      <c r="H818" s="248" t="s">
        <v>513</v>
      </c>
      <c r="I818" s="248" t="s">
        <v>514</v>
      </c>
      <c r="J818" s="248" t="s">
        <v>297</v>
      </c>
      <c r="K818" s="249" t="s">
        <v>1765</v>
      </c>
      <c r="L818" s="257" t="s">
        <v>516</v>
      </c>
      <c r="M818" s="249"/>
      <c r="N818" s="249"/>
      <c r="O818" s="249"/>
      <c r="P818" s="249"/>
      <c r="Q818" s="249"/>
      <c r="R818" s="249"/>
      <c r="S818" s="249"/>
      <c r="T818" s="249"/>
      <c r="U818" s="249"/>
      <c r="V818" s="249"/>
    </row>
    <row r="819">
      <c r="A819" s="255" t="s">
        <v>1766</v>
      </c>
      <c r="B819" s="248" t="s">
        <v>688</v>
      </c>
      <c r="C819" s="248" t="s">
        <v>683</v>
      </c>
      <c r="D819" s="248" t="s">
        <v>512</v>
      </c>
      <c r="E819" s="248">
        <v>181764.0</v>
      </c>
      <c r="F819" s="256">
        <v>45089.0</v>
      </c>
      <c r="G819" s="248">
        <v>2023.0</v>
      </c>
      <c r="H819" s="248" t="s">
        <v>513</v>
      </c>
      <c r="I819" s="248" t="s">
        <v>514</v>
      </c>
      <c r="J819" s="248" t="s">
        <v>297</v>
      </c>
      <c r="K819" s="249" t="s">
        <v>1767</v>
      </c>
      <c r="L819" s="257" t="s">
        <v>516</v>
      </c>
      <c r="M819" s="249"/>
      <c r="N819" s="249"/>
      <c r="O819" s="249"/>
      <c r="P819" s="249"/>
      <c r="Q819" s="249"/>
      <c r="R819" s="249"/>
      <c r="S819" s="249"/>
      <c r="T819" s="249"/>
      <c r="U819" s="249"/>
      <c r="V819" s="249"/>
    </row>
    <row r="820">
      <c r="A820" s="255" t="s">
        <v>1768</v>
      </c>
      <c r="B820" s="248" t="s">
        <v>1189</v>
      </c>
      <c r="C820" s="248" t="s">
        <v>666</v>
      </c>
      <c r="D820" s="248" t="s">
        <v>575</v>
      </c>
      <c r="E820" s="248">
        <v>2501.0</v>
      </c>
      <c r="F820" s="256">
        <v>45089.0</v>
      </c>
      <c r="G820" s="248">
        <v>2023.0</v>
      </c>
      <c r="H820" s="248" t="s">
        <v>513</v>
      </c>
      <c r="I820" s="248" t="s">
        <v>514</v>
      </c>
      <c r="J820" s="248" t="s">
        <v>309</v>
      </c>
      <c r="K820" s="249" t="s">
        <v>1769</v>
      </c>
      <c r="L820" s="257" t="s">
        <v>516</v>
      </c>
      <c r="M820" s="249"/>
      <c r="N820" s="249"/>
      <c r="O820" s="249"/>
      <c r="P820" s="249"/>
      <c r="Q820" s="249"/>
      <c r="R820" s="249"/>
      <c r="S820" s="249"/>
      <c r="T820" s="249"/>
      <c r="U820" s="249"/>
      <c r="V820" s="249"/>
    </row>
    <row r="821">
      <c r="A821" s="255" t="s">
        <v>1770</v>
      </c>
      <c r="B821" s="248" t="s">
        <v>564</v>
      </c>
      <c r="C821" s="248" t="s">
        <v>565</v>
      </c>
      <c r="D821" s="248" t="s">
        <v>512</v>
      </c>
      <c r="E821" s="248">
        <v>33839.0</v>
      </c>
      <c r="F821" s="256">
        <v>45088.0</v>
      </c>
      <c r="G821" s="248">
        <v>2023.0</v>
      </c>
      <c r="H821" s="248" t="s">
        <v>513</v>
      </c>
      <c r="I821" s="248" t="s">
        <v>514</v>
      </c>
      <c r="J821" s="248" t="s">
        <v>297</v>
      </c>
      <c r="K821" s="249" t="s">
        <v>1771</v>
      </c>
      <c r="L821" s="257" t="s">
        <v>516</v>
      </c>
      <c r="M821" s="249"/>
      <c r="N821" s="249"/>
      <c r="O821" s="249"/>
      <c r="P821" s="249"/>
      <c r="Q821" s="249"/>
      <c r="R821" s="249"/>
      <c r="S821" s="249"/>
      <c r="T821" s="249"/>
      <c r="U821" s="249"/>
      <c r="V821" s="249"/>
    </row>
    <row r="822">
      <c r="A822" s="255" t="s">
        <v>1772</v>
      </c>
      <c r="B822" s="248" t="s">
        <v>607</v>
      </c>
      <c r="C822" s="248" t="s">
        <v>608</v>
      </c>
      <c r="D822" s="248" t="s">
        <v>520</v>
      </c>
      <c r="E822" s="248">
        <v>1105.0</v>
      </c>
      <c r="F822" s="256">
        <v>45088.0</v>
      </c>
      <c r="G822" s="248">
        <v>2023.0</v>
      </c>
      <c r="H822" s="248" t="s">
        <v>546</v>
      </c>
      <c r="I822" s="248" t="s">
        <v>547</v>
      </c>
      <c r="J822" s="248" t="s">
        <v>309</v>
      </c>
      <c r="K822" s="249" t="s">
        <v>1773</v>
      </c>
      <c r="L822" s="257" t="s">
        <v>516</v>
      </c>
      <c r="M822" s="249"/>
      <c r="N822" s="249"/>
      <c r="O822" s="249"/>
      <c r="P822" s="249"/>
      <c r="Q822" s="249"/>
      <c r="R822" s="249"/>
      <c r="S822" s="249"/>
      <c r="T822" s="249"/>
      <c r="U822" s="249"/>
      <c r="V822" s="249"/>
    </row>
    <row r="823">
      <c r="A823" s="255" t="s">
        <v>1774</v>
      </c>
      <c r="B823" s="248" t="s">
        <v>894</v>
      </c>
      <c r="C823" s="248" t="s">
        <v>639</v>
      </c>
      <c r="D823" s="248" t="s">
        <v>512</v>
      </c>
      <c r="E823" s="248">
        <v>61327.0</v>
      </c>
      <c r="F823" s="256">
        <v>45086.0</v>
      </c>
      <c r="G823" s="248">
        <v>2023.0</v>
      </c>
      <c r="H823" s="248" t="s">
        <v>513</v>
      </c>
      <c r="I823" s="248" t="s">
        <v>514</v>
      </c>
      <c r="J823" s="248" t="s">
        <v>297</v>
      </c>
      <c r="K823" s="249" t="s">
        <v>1775</v>
      </c>
      <c r="L823" s="257" t="s">
        <v>516</v>
      </c>
      <c r="M823" s="249"/>
      <c r="N823" s="249"/>
      <c r="O823" s="249"/>
      <c r="P823" s="249"/>
      <c r="Q823" s="249"/>
      <c r="R823" s="249"/>
      <c r="S823" s="249"/>
      <c r="T823" s="249"/>
      <c r="U823" s="249"/>
      <c r="V823" s="249"/>
    </row>
    <row r="824">
      <c r="A824" s="255" t="s">
        <v>1776</v>
      </c>
      <c r="B824" s="248" t="s">
        <v>705</v>
      </c>
      <c r="C824" s="248" t="s">
        <v>706</v>
      </c>
      <c r="D824" s="248" t="s">
        <v>520</v>
      </c>
      <c r="E824" s="248">
        <v>9412.0</v>
      </c>
      <c r="F824" s="256">
        <v>45084.0</v>
      </c>
      <c r="G824" s="248">
        <v>2023.0</v>
      </c>
      <c r="H824" s="248" t="s">
        <v>513</v>
      </c>
      <c r="I824" s="248" t="s">
        <v>514</v>
      </c>
      <c r="J824" s="248" t="s">
        <v>309</v>
      </c>
      <c r="K824" s="249" t="s">
        <v>1777</v>
      </c>
      <c r="L824" s="257" t="s">
        <v>516</v>
      </c>
      <c r="M824" s="249"/>
      <c r="N824" s="249"/>
      <c r="O824" s="249"/>
      <c r="P824" s="249"/>
      <c r="Q824" s="249"/>
      <c r="R824" s="249"/>
      <c r="S824" s="249"/>
      <c r="T824" s="249"/>
      <c r="U824" s="249"/>
      <c r="V824" s="249"/>
    </row>
    <row r="825">
      <c r="A825" s="255" t="s">
        <v>1778</v>
      </c>
      <c r="B825" s="248" t="s">
        <v>894</v>
      </c>
      <c r="C825" s="248" t="s">
        <v>639</v>
      </c>
      <c r="D825" s="248" t="s">
        <v>575</v>
      </c>
      <c r="E825" s="248">
        <v>5833.0</v>
      </c>
      <c r="F825" s="256">
        <v>45083.0</v>
      </c>
      <c r="G825" s="248">
        <v>2023.0</v>
      </c>
      <c r="H825" s="248" t="s">
        <v>546</v>
      </c>
      <c r="I825" s="248" t="s">
        <v>547</v>
      </c>
      <c r="J825" s="248" t="s">
        <v>309</v>
      </c>
      <c r="K825" s="249" t="s">
        <v>1779</v>
      </c>
      <c r="L825" s="257" t="s">
        <v>516</v>
      </c>
      <c r="M825" s="249"/>
      <c r="N825" s="249"/>
      <c r="O825" s="249"/>
      <c r="P825" s="249"/>
      <c r="Q825" s="249"/>
      <c r="R825" s="249"/>
      <c r="S825" s="249"/>
      <c r="T825" s="249"/>
      <c r="U825" s="249"/>
      <c r="V825" s="249"/>
    </row>
    <row r="826">
      <c r="A826" s="255" t="s">
        <v>1780</v>
      </c>
      <c r="B826" s="248" t="s">
        <v>924</v>
      </c>
      <c r="C826" s="248" t="s">
        <v>725</v>
      </c>
      <c r="D826" s="248" t="s">
        <v>512</v>
      </c>
      <c r="E826" s="248">
        <v>168215.0</v>
      </c>
      <c r="F826" s="256">
        <v>45083.0</v>
      </c>
      <c r="G826" s="248">
        <v>2023.0</v>
      </c>
      <c r="H826" s="248" t="s">
        <v>513</v>
      </c>
      <c r="I826" s="248" t="s">
        <v>521</v>
      </c>
      <c r="J826" s="248" t="s">
        <v>297</v>
      </c>
      <c r="K826" s="249" t="s">
        <v>1781</v>
      </c>
      <c r="L826" s="257" t="s">
        <v>516</v>
      </c>
      <c r="M826" s="249"/>
      <c r="N826" s="249"/>
      <c r="O826" s="249"/>
      <c r="P826" s="249"/>
      <c r="Q826" s="249"/>
      <c r="R826" s="249"/>
      <c r="S826" s="249"/>
      <c r="T826" s="249"/>
      <c r="U826" s="249"/>
      <c r="V826" s="249"/>
    </row>
    <row r="827">
      <c r="A827" s="255" t="s">
        <v>1782</v>
      </c>
      <c r="B827" s="248" t="s">
        <v>679</v>
      </c>
      <c r="C827" s="248" t="s">
        <v>663</v>
      </c>
      <c r="D827" s="248" t="s">
        <v>512</v>
      </c>
      <c r="E827" s="248">
        <v>1415.0</v>
      </c>
      <c r="F827" s="256">
        <v>45083.0</v>
      </c>
      <c r="G827" s="248">
        <v>2023.0</v>
      </c>
      <c r="H827" s="248" t="s">
        <v>513</v>
      </c>
      <c r="I827" s="248" t="s">
        <v>514</v>
      </c>
      <c r="J827" s="248" t="s">
        <v>309</v>
      </c>
      <c r="K827" s="249" t="s">
        <v>1783</v>
      </c>
      <c r="L827" s="257" t="s">
        <v>516</v>
      </c>
      <c r="M827" s="249"/>
      <c r="N827" s="249"/>
      <c r="O827" s="249"/>
      <c r="P827" s="249"/>
      <c r="Q827" s="249"/>
      <c r="R827" s="249"/>
      <c r="S827" s="249"/>
      <c r="T827" s="249"/>
      <c r="U827" s="249"/>
      <c r="V827" s="249"/>
    </row>
    <row r="828">
      <c r="A828" s="255" t="s">
        <v>1784</v>
      </c>
      <c r="B828" s="248" t="s">
        <v>679</v>
      </c>
      <c r="C828" s="248" t="s">
        <v>663</v>
      </c>
      <c r="D828" s="248" t="s">
        <v>512</v>
      </c>
      <c r="E828" s="248">
        <v>17191.0</v>
      </c>
      <c r="F828" s="256">
        <v>45083.0</v>
      </c>
      <c r="G828" s="248">
        <v>2023.0</v>
      </c>
      <c r="H828" s="248" t="s">
        <v>513</v>
      </c>
      <c r="I828" s="248" t="s">
        <v>514</v>
      </c>
      <c r="J828" s="248" t="s">
        <v>309</v>
      </c>
      <c r="K828" s="249" t="s">
        <v>1785</v>
      </c>
      <c r="L828" s="257" t="s">
        <v>516</v>
      </c>
      <c r="M828" s="249"/>
      <c r="N828" s="249"/>
      <c r="O828" s="249"/>
      <c r="P828" s="249"/>
      <c r="Q828" s="249"/>
      <c r="R828" s="249"/>
      <c r="S828" s="249"/>
      <c r="T828" s="249"/>
      <c r="U828" s="249"/>
      <c r="V828" s="249"/>
    </row>
    <row r="829">
      <c r="A829" s="255" t="s">
        <v>1786</v>
      </c>
      <c r="B829" s="248" t="s">
        <v>679</v>
      </c>
      <c r="C829" s="248" t="s">
        <v>663</v>
      </c>
      <c r="D829" s="248" t="s">
        <v>512</v>
      </c>
      <c r="E829" s="248">
        <v>2721.0</v>
      </c>
      <c r="F829" s="256">
        <v>45083.0</v>
      </c>
      <c r="G829" s="248">
        <v>2023.0</v>
      </c>
      <c r="H829" s="248" t="s">
        <v>559</v>
      </c>
      <c r="I829" s="248" t="s">
        <v>547</v>
      </c>
      <c r="J829" s="248" t="s">
        <v>297</v>
      </c>
      <c r="K829" s="249" t="s">
        <v>1787</v>
      </c>
      <c r="L829" s="257" t="s">
        <v>516</v>
      </c>
      <c r="M829" s="249"/>
      <c r="N829" s="249"/>
      <c r="O829" s="249"/>
      <c r="P829" s="249"/>
      <c r="Q829" s="249"/>
      <c r="R829" s="249"/>
      <c r="S829" s="249"/>
      <c r="T829" s="249"/>
      <c r="U829" s="249"/>
      <c r="V829" s="249"/>
    </row>
    <row r="830">
      <c r="A830" s="255" t="s">
        <v>1788</v>
      </c>
      <c r="B830" s="248" t="s">
        <v>542</v>
      </c>
      <c r="C830" s="248" t="s">
        <v>543</v>
      </c>
      <c r="D830" s="248" t="s">
        <v>520</v>
      </c>
      <c r="E830" s="248">
        <v>91851.0</v>
      </c>
      <c r="F830" s="256">
        <v>45079.0</v>
      </c>
      <c r="G830" s="248">
        <v>2023.0</v>
      </c>
      <c r="H830" s="248" t="s">
        <v>513</v>
      </c>
      <c r="I830" s="248" t="s">
        <v>514</v>
      </c>
      <c r="J830" s="248" t="s">
        <v>309</v>
      </c>
      <c r="K830" s="249" t="s">
        <v>1789</v>
      </c>
      <c r="L830" s="257" t="s">
        <v>516</v>
      </c>
      <c r="M830" s="249"/>
      <c r="N830" s="249"/>
      <c r="O830" s="249"/>
      <c r="P830" s="249"/>
      <c r="Q830" s="249"/>
      <c r="R830" s="249"/>
      <c r="S830" s="249"/>
      <c r="T830" s="249"/>
      <c r="U830" s="249"/>
      <c r="V830" s="249"/>
    </row>
    <row r="831">
      <c r="A831" s="255" t="s">
        <v>1790</v>
      </c>
      <c r="B831" s="248" t="s">
        <v>1039</v>
      </c>
      <c r="C831" s="248" t="s">
        <v>686</v>
      </c>
      <c r="D831" s="248" t="s">
        <v>512</v>
      </c>
      <c r="E831" s="248">
        <v>19791.0</v>
      </c>
      <c r="F831" s="256">
        <v>45079.0</v>
      </c>
      <c r="G831" s="248">
        <v>2023.0</v>
      </c>
      <c r="H831" s="248" t="s">
        <v>513</v>
      </c>
      <c r="I831" s="248" t="s">
        <v>514</v>
      </c>
      <c r="J831" s="248" t="s">
        <v>297</v>
      </c>
      <c r="K831" s="249" t="s">
        <v>1791</v>
      </c>
      <c r="L831" s="257" t="s">
        <v>516</v>
      </c>
      <c r="M831" s="249"/>
      <c r="N831" s="249"/>
      <c r="O831" s="249"/>
      <c r="P831" s="249"/>
      <c r="Q831" s="249"/>
      <c r="R831" s="249"/>
      <c r="S831" s="249"/>
      <c r="T831" s="249"/>
      <c r="U831" s="249"/>
      <c r="V831" s="249"/>
    </row>
    <row r="832">
      <c r="A832" s="255" t="s">
        <v>1792</v>
      </c>
      <c r="B832" s="248" t="s">
        <v>1063</v>
      </c>
      <c r="C832" s="248" t="s">
        <v>759</v>
      </c>
      <c r="D832" s="248" t="s">
        <v>512</v>
      </c>
      <c r="E832" s="248">
        <v>1802.0</v>
      </c>
      <c r="F832" s="256">
        <v>45079.0</v>
      </c>
      <c r="G832" s="248">
        <v>2023.0</v>
      </c>
      <c r="H832" s="248" t="s">
        <v>546</v>
      </c>
      <c r="I832" s="248" t="s">
        <v>561</v>
      </c>
      <c r="J832" s="248" t="s">
        <v>297</v>
      </c>
      <c r="K832" s="249" t="s">
        <v>1793</v>
      </c>
      <c r="L832" s="257" t="s">
        <v>516</v>
      </c>
      <c r="M832" s="249"/>
      <c r="N832" s="249"/>
      <c r="O832" s="249"/>
      <c r="P832" s="249"/>
      <c r="Q832" s="249"/>
      <c r="R832" s="249"/>
      <c r="S832" s="249"/>
      <c r="T832" s="249"/>
      <c r="U832" s="249"/>
      <c r="V832" s="249"/>
    </row>
    <row r="833">
      <c r="A833" s="255" t="s">
        <v>1794</v>
      </c>
      <c r="B833" s="248" t="s">
        <v>590</v>
      </c>
      <c r="C833" s="248" t="s">
        <v>591</v>
      </c>
      <c r="D833" s="248" t="s">
        <v>520</v>
      </c>
      <c r="E833" s="248">
        <v>31248.0</v>
      </c>
      <c r="F833" s="256">
        <v>45079.0</v>
      </c>
      <c r="G833" s="248">
        <v>2023.0</v>
      </c>
      <c r="H833" s="248" t="s">
        <v>513</v>
      </c>
      <c r="I833" s="248" t="s">
        <v>514</v>
      </c>
      <c r="J833" s="248" t="s">
        <v>309</v>
      </c>
      <c r="K833" s="248" t="s">
        <v>1795</v>
      </c>
      <c r="L833" s="257" t="s">
        <v>516</v>
      </c>
      <c r="M833" s="249"/>
      <c r="N833" s="249"/>
      <c r="O833" s="249"/>
      <c r="P833" s="249"/>
      <c r="Q833" s="249"/>
      <c r="R833" s="249"/>
      <c r="S833" s="249"/>
      <c r="T833" s="249"/>
      <c r="U833" s="249"/>
      <c r="V833" s="249"/>
    </row>
    <row r="834">
      <c r="A834" s="255" t="s">
        <v>1796</v>
      </c>
      <c r="B834" s="248" t="s">
        <v>641</v>
      </c>
      <c r="C834" s="248" t="s">
        <v>633</v>
      </c>
      <c r="D834" s="248" t="s">
        <v>520</v>
      </c>
      <c r="E834" s="248">
        <v>23557.0</v>
      </c>
      <c r="F834" s="256">
        <v>45079.0</v>
      </c>
      <c r="G834" s="248">
        <v>2023.0</v>
      </c>
      <c r="H834" s="248" t="s">
        <v>513</v>
      </c>
      <c r="I834" s="248" t="s">
        <v>514</v>
      </c>
      <c r="J834" s="248" t="s">
        <v>309</v>
      </c>
      <c r="K834" s="249" t="s">
        <v>1797</v>
      </c>
      <c r="L834" s="257" t="s">
        <v>516</v>
      </c>
      <c r="M834" s="249"/>
      <c r="N834" s="249"/>
      <c r="O834" s="249"/>
      <c r="P834" s="249"/>
      <c r="Q834" s="249"/>
      <c r="R834" s="249"/>
      <c r="S834" s="249"/>
      <c r="T834" s="249"/>
      <c r="U834" s="249"/>
      <c r="V834" s="249"/>
    </row>
    <row r="835">
      <c r="A835" s="255" t="s">
        <v>1798</v>
      </c>
      <c r="B835" s="248" t="s">
        <v>956</v>
      </c>
      <c r="C835" s="248" t="s">
        <v>680</v>
      </c>
      <c r="D835" s="248" t="s">
        <v>512</v>
      </c>
      <c r="E835" s="248">
        <v>20865.0</v>
      </c>
      <c r="F835" s="256">
        <v>45079.0</v>
      </c>
      <c r="G835" s="248">
        <v>2023.0</v>
      </c>
      <c r="H835" s="248" t="s">
        <v>513</v>
      </c>
      <c r="I835" s="248" t="s">
        <v>514</v>
      </c>
      <c r="J835" s="248" t="s">
        <v>297</v>
      </c>
      <c r="K835" s="249" t="s">
        <v>1799</v>
      </c>
      <c r="L835" s="257" t="s">
        <v>516</v>
      </c>
      <c r="M835" s="249"/>
      <c r="N835" s="249"/>
      <c r="O835" s="249"/>
      <c r="P835" s="249"/>
      <c r="Q835" s="249"/>
      <c r="R835" s="249"/>
      <c r="S835" s="249"/>
      <c r="T835" s="249"/>
      <c r="U835" s="249"/>
      <c r="V835" s="249"/>
    </row>
    <row r="836">
      <c r="A836" s="255" t="s">
        <v>1800</v>
      </c>
      <c r="B836" s="248" t="s">
        <v>530</v>
      </c>
      <c r="C836" s="248" t="s">
        <v>531</v>
      </c>
      <c r="D836" s="248" t="s">
        <v>512</v>
      </c>
      <c r="E836" s="248">
        <v>124862.0</v>
      </c>
      <c r="F836" s="256">
        <v>45079.0</v>
      </c>
      <c r="G836" s="248">
        <v>2023.0</v>
      </c>
      <c r="H836" s="248" t="s">
        <v>513</v>
      </c>
      <c r="I836" s="248" t="s">
        <v>514</v>
      </c>
      <c r="J836" s="248" t="s">
        <v>297</v>
      </c>
      <c r="K836" s="249" t="s">
        <v>1801</v>
      </c>
      <c r="L836" s="257" t="s">
        <v>516</v>
      </c>
      <c r="M836" s="249"/>
      <c r="N836" s="249"/>
      <c r="O836" s="249"/>
      <c r="P836" s="249"/>
      <c r="Q836" s="249"/>
      <c r="R836" s="249"/>
      <c r="S836" s="249"/>
      <c r="T836" s="249"/>
      <c r="U836" s="249"/>
      <c r="V836" s="249"/>
    </row>
    <row r="837">
      <c r="A837" s="255" t="s">
        <v>1802</v>
      </c>
      <c r="B837" s="248" t="s">
        <v>573</v>
      </c>
      <c r="C837" s="248" t="s">
        <v>574</v>
      </c>
      <c r="D837" s="248" t="s">
        <v>512</v>
      </c>
      <c r="E837" s="248">
        <v>33000.0</v>
      </c>
      <c r="F837" s="256">
        <v>45078.0</v>
      </c>
      <c r="G837" s="248">
        <v>2023.0</v>
      </c>
      <c r="H837" s="248" t="s">
        <v>513</v>
      </c>
      <c r="I837" s="248" t="s">
        <v>514</v>
      </c>
      <c r="J837" s="248" t="s">
        <v>297</v>
      </c>
      <c r="K837" s="249" t="s">
        <v>1803</v>
      </c>
      <c r="L837" s="257" t="s">
        <v>516</v>
      </c>
      <c r="M837" s="249"/>
      <c r="N837" s="249"/>
      <c r="O837" s="249"/>
      <c r="P837" s="249"/>
      <c r="Q837" s="249"/>
      <c r="R837" s="249"/>
      <c r="S837" s="249"/>
      <c r="T837" s="249"/>
      <c r="U837" s="249"/>
      <c r="V837" s="249"/>
    </row>
    <row r="838">
      <c r="A838" s="255" t="s">
        <v>1804</v>
      </c>
      <c r="B838" s="248" t="s">
        <v>530</v>
      </c>
      <c r="C838" s="248" t="s">
        <v>531</v>
      </c>
      <c r="D838" s="248" t="s">
        <v>520</v>
      </c>
      <c r="E838" s="248">
        <v>24382.0</v>
      </c>
      <c r="F838" s="256">
        <v>45077.0</v>
      </c>
      <c r="G838" s="248">
        <v>2023.0</v>
      </c>
      <c r="H838" s="248" t="s">
        <v>513</v>
      </c>
      <c r="I838" s="248" t="s">
        <v>514</v>
      </c>
      <c r="J838" s="248" t="s">
        <v>309</v>
      </c>
      <c r="K838" s="249" t="s">
        <v>1805</v>
      </c>
      <c r="L838" s="257" t="s">
        <v>516</v>
      </c>
      <c r="M838" s="249"/>
      <c r="N838" s="249"/>
      <c r="O838" s="249"/>
      <c r="P838" s="249"/>
      <c r="Q838" s="249"/>
      <c r="R838" s="249"/>
      <c r="S838" s="249"/>
      <c r="T838" s="249"/>
      <c r="U838" s="249"/>
      <c r="V838" s="249"/>
    </row>
    <row r="839">
      <c r="A839" s="255" t="s">
        <v>1806</v>
      </c>
      <c r="B839" s="248" t="s">
        <v>956</v>
      </c>
      <c r="C839" s="248" t="s">
        <v>680</v>
      </c>
      <c r="D839" s="248" t="s">
        <v>575</v>
      </c>
      <c r="E839" s="248">
        <v>233834.0</v>
      </c>
      <c r="F839" s="256">
        <v>45076.0</v>
      </c>
      <c r="G839" s="248">
        <v>2023.0</v>
      </c>
      <c r="H839" s="248" t="s">
        <v>513</v>
      </c>
      <c r="I839" s="248" t="s">
        <v>514</v>
      </c>
      <c r="J839" s="248" t="s">
        <v>309</v>
      </c>
      <c r="K839" s="249" t="s">
        <v>1807</v>
      </c>
      <c r="L839" s="257" t="s">
        <v>516</v>
      </c>
      <c r="M839" s="249"/>
      <c r="N839" s="249"/>
      <c r="O839" s="249"/>
      <c r="P839" s="249"/>
      <c r="Q839" s="249"/>
      <c r="R839" s="249"/>
      <c r="S839" s="249"/>
      <c r="T839" s="249"/>
      <c r="U839" s="249"/>
      <c r="V839" s="249"/>
    </row>
    <row r="840">
      <c r="A840" s="255" t="s">
        <v>1808</v>
      </c>
      <c r="B840" s="248" t="s">
        <v>590</v>
      </c>
      <c r="C840" s="248" t="s">
        <v>591</v>
      </c>
      <c r="D840" s="248" t="s">
        <v>520</v>
      </c>
      <c r="E840" s="248">
        <v>4456.0</v>
      </c>
      <c r="F840" s="256">
        <v>45072.0</v>
      </c>
      <c r="G840" s="248">
        <v>2023.0</v>
      </c>
      <c r="H840" s="248" t="s">
        <v>513</v>
      </c>
      <c r="I840" s="248" t="s">
        <v>514</v>
      </c>
      <c r="J840" s="248" t="s">
        <v>309</v>
      </c>
      <c r="K840" s="249" t="s">
        <v>1809</v>
      </c>
      <c r="L840" s="257" t="s">
        <v>516</v>
      </c>
      <c r="M840" s="249"/>
      <c r="N840" s="249"/>
      <c r="O840" s="249"/>
      <c r="P840" s="249"/>
      <c r="Q840" s="249"/>
      <c r="R840" s="249"/>
      <c r="S840" s="249"/>
      <c r="T840" s="249"/>
      <c r="U840" s="249"/>
      <c r="V840" s="249"/>
    </row>
    <row r="841">
      <c r="A841" s="255" t="s">
        <v>1808</v>
      </c>
      <c r="B841" s="248" t="s">
        <v>590</v>
      </c>
      <c r="C841" s="248" t="s">
        <v>591</v>
      </c>
      <c r="D841" s="248" t="s">
        <v>520</v>
      </c>
      <c r="E841" s="248">
        <v>1389.0</v>
      </c>
      <c r="F841" s="256">
        <v>45072.0</v>
      </c>
      <c r="G841" s="248">
        <v>2023.0</v>
      </c>
      <c r="H841" s="248" t="s">
        <v>513</v>
      </c>
      <c r="I841" s="248" t="s">
        <v>514</v>
      </c>
      <c r="J841" s="248" t="s">
        <v>309</v>
      </c>
      <c r="K841" s="249" t="s">
        <v>1810</v>
      </c>
      <c r="L841" s="257" t="s">
        <v>516</v>
      </c>
      <c r="M841" s="249"/>
      <c r="N841" s="249"/>
      <c r="O841" s="249"/>
      <c r="P841" s="249"/>
      <c r="Q841" s="249"/>
      <c r="R841" s="249"/>
      <c r="S841" s="249"/>
      <c r="T841" s="249"/>
      <c r="U841" s="249"/>
      <c r="V841" s="249"/>
    </row>
    <row r="842">
      <c r="A842" s="255" t="s">
        <v>1808</v>
      </c>
      <c r="B842" s="248" t="s">
        <v>590</v>
      </c>
      <c r="C842" s="248" t="s">
        <v>591</v>
      </c>
      <c r="D842" s="248" t="s">
        <v>520</v>
      </c>
      <c r="E842" s="248">
        <v>1191.0</v>
      </c>
      <c r="F842" s="256">
        <v>45072.0</v>
      </c>
      <c r="G842" s="248">
        <v>2023.0</v>
      </c>
      <c r="H842" s="248" t="s">
        <v>513</v>
      </c>
      <c r="I842" s="248" t="s">
        <v>514</v>
      </c>
      <c r="J842" s="248" t="s">
        <v>309</v>
      </c>
      <c r="K842" s="249" t="s">
        <v>1811</v>
      </c>
      <c r="L842" s="257" t="s">
        <v>516</v>
      </c>
      <c r="M842" s="249"/>
      <c r="N842" s="249"/>
      <c r="O842" s="249"/>
      <c r="P842" s="249"/>
      <c r="Q842" s="249"/>
      <c r="R842" s="249"/>
      <c r="S842" s="249"/>
      <c r="T842" s="249"/>
      <c r="U842" s="249"/>
      <c r="V842" s="249"/>
    </row>
    <row r="843">
      <c r="A843" s="255" t="s">
        <v>1808</v>
      </c>
      <c r="B843" s="248" t="s">
        <v>590</v>
      </c>
      <c r="C843" s="248" t="s">
        <v>591</v>
      </c>
      <c r="D843" s="248" t="s">
        <v>520</v>
      </c>
      <c r="E843" s="248">
        <v>1518.0</v>
      </c>
      <c r="F843" s="256">
        <v>45072.0</v>
      </c>
      <c r="G843" s="248">
        <v>2023.0</v>
      </c>
      <c r="H843" s="248" t="s">
        <v>513</v>
      </c>
      <c r="I843" s="248" t="s">
        <v>514</v>
      </c>
      <c r="J843" s="248" t="s">
        <v>309</v>
      </c>
      <c r="K843" s="249" t="s">
        <v>1812</v>
      </c>
      <c r="L843" s="257" t="s">
        <v>516</v>
      </c>
      <c r="M843" s="249"/>
      <c r="N843" s="249"/>
      <c r="O843" s="249"/>
      <c r="P843" s="249"/>
      <c r="Q843" s="249"/>
      <c r="R843" s="249"/>
      <c r="S843" s="249"/>
      <c r="T843" s="249"/>
      <c r="U843" s="249"/>
      <c r="V843" s="249"/>
    </row>
    <row r="844">
      <c r="A844" s="255" t="s">
        <v>1813</v>
      </c>
      <c r="B844" s="248" t="s">
        <v>590</v>
      </c>
      <c r="C844" s="248" t="s">
        <v>591</v>
      </c>
      <c r="D844" s="248" t="s">
        <v>512</v>
      </c>
      <c r="E844" s="248">
        <v>36275.0</v>
      </c>
      <c r="F844" s="256">
        <v>45072.0</v>
      </c>
      <c r="G844" s="248">
        <v>2023.0</v>
      </c>
      <c r="H844" s="248" t="s">
        <v>513</v>
      </c>
      <c r="I844" s="248" t="s">
        <v>514</v>
      </c>
      <c r="J844" s="248" t="s">
        <v>309</v>
      </c>
      <c r="K844" s="249" t="s">
        <v>1814</v>
      </c>
      <c r="L844" s="257" t="s">
        <v>516</v>
      </c>
      <c r="M844" s="249"/>
      <c r="N844" s="249"/>
      <c r="O844" s="249"/>
      <c r="P844" s="249"/>
      <c r="Q844" s="249"/>
      <c r="R844" s="249"/>
      <c r="S844" s="249"/>
      <c r="T844" s="249"/>
      <c r="U844" s="249"/>
      <c r="V844" s="249"/>
    </row>
    <row r="845">
      <c r="A845" s="255" t="s">
        <v>1815</v>
      </c>
      <c r="B845" s="248" t="s">
        <v>530</v>
      </c>
      <c r="C845" s="248" t="s">
        <v>531</v>
      </c>
      <c r="D845" s="248" t="s">
        <v>520</v>
      </c>
      <c r="E845" s="248">
        <v>8432.0</v>
      </c>
      <c r="F845" s="256">
        <v>45072.0</v>
      </c>
      <c r="G845" s="248">
        <v>2023.0</v>
      </c>
      <c r="H845" s="248" t="s">
        <v>513</v>
      </c>
      <c r="I845" s="248" t="s">
        <v>514</v>
      </c>
      <c r="J845" s="248" t="s">
        <v>309</v>
      </c>
      <c r="K845" s="249" t="s">
        <v>1816</v>
      </c>
      <c r="L845" s="257" t="s">
        <v>516</v>
      </c>
      <c r="M845" s="249"/>
      <c r="N845" s="249"/>
      <c r="O845" s="249"/>
      <c r="P845" s="249"/>
      <c r="Q845" s="249"/>
      <c r="R845" s="249"/>
      <c r="S845" s="249"/>
      <c r="T845" s="249"/>
      <c r="U845" s="249"/>
      <c r="V845" s="249"/>
    </row>
    <row r="846">
      <c r="A846" s="255" t="s">
        <v>1808</v>
      </c>
      <c r="B846" s="248" t="s">
        <v>590</v>
      </c>
      <c r="C846" s="248" t="s">
        <v>591</v>
      </c>
      <c r="D846" s="248" t="s">
        <v>520</v>
      </c>
      <c r="E846" s="248">
        <v>1147.0</v>
      </c>
      <c r="F846" s="256">
        <v>45072.0</v>
      </c>
      <c r="G846" s="248">
        <v>2023.0</v>
      </c>
      <c r="H846" s="248" t="s">
        <v>513</v>
      </c>
      <c r="I846" s="248" t="s">
        <v>514</v>
      </c>
      <c r="J846" s="248" t="s">
        <v>309</v>
      </c>
      <c r="K846" s="249" t="s">
        <v>1817</v>
      </c>
      <c r="L846" s="257" t="s">
        <v>516</v>
      </c>
      <c r="M846" s="249"/>
      <c r="N846" s="249"/>
      <c r="O846" s="249"/>
      <c r="P846" s="249"/>
      <c r="Q846" s="249"/>
      <c r="R846" s="249"/>
      <c r="S846" s="249"/>
      <c r="T846" s="249"/>
      <c r="U846" s="249"/>
      <c r="V846" s="249"/>
    </row>
    <row r="847">
      <c r="A847" s="255" t="s">
        <v>1808</v>
      </c>
      <c r="B847" s="248" t="s">
        <v>590</v>
      </c>
      <c r="C847" s="248" t="s">
        <v>591</v>
      </c>
      <c r="D847" s="248" t="s">
        <v>520</v>
      </c>
      <c r="E847" s="248">
        <v>1097.0</v>
      </c>
      <c r="F847" s="256">
        <v>45072.0</v>
      </c>
      <c r="G847" s="248">
        <v>2023.0</v>
      </c>
      <c r="H847" s="248" t="s">
        <v>513</v>
      </c>
      <c r="I847" s="248" t="s">
        <v>514</v>
      </c>
      <c r="J847" s="248" t="s">
        <v>309</v>
      </c>
      <c r="K847" s="249" t="s">
        <v>1818</v>
      </c>
      <c r="L847" s="257" t="s">
        <v>516</v>
      </c>
      <c r="M847" s="249"/>
      <c r="N847" s="249"/>
      <c r="O847" s="249"/>
      <c r="P847" s="249"/>
      <c r="Q847" s="249"/>
      <c r="R847" s="249"/>
      <c r="S847" s="249"/>
      <c r="T847" s="249"/>
      <c r="U847" s="249"/>
      <c r="V847" s="249"/>
    </row>
    <row r="848">
      <c r="A848" s="255" t="s">
        <v>1819</v>
      </c>
      <c r="B848" s="248" t="s">
        <v>564</v>
      </c>
      <c r="C848" s="248" t="s">
        <v>565</v>
      </c>
      <c r="D848" s="248" t="s">
        <v>520</v>
      </c>
      <c r="E848" s="248">
        <v>8627242.0</v>
      </c>
      <c r="F848" s="256">
        <v>45072.0</v>
      </c>
      <c r="G848" s="248">
        <v>2023.0</v>
      </c>
      <c r="H848" s="248" t="s">
        <v>513</v>
      </c>
      <c r="I848" s="248" t="s">
        <v>514</v>
      </c>
      <c r="J848" s="248" t="s">
        <v>309</v>
      </c>
      <c r="K848" s="249" t="s">
        <v>1820</v>
      </c>
      <c r="L848" s="257" t="s">
        <v>516</v>
      </c>
      <c r="M848" s="249"/>
      <c r="N848" s="249"/>
      <c r="O848" s="249"/>
      <c r="P848" s="249"/>
      <c r="Q848" s="249"/>
      <c r="R848" s="249"/>
      <c r="S848" s="249"/>
      <c r="T848" s="249"/>
      <c r="U848" s="249"/>
      <c r="V848" s="249"/>
    </row>
    <row r="849">
      <c r="A849" s="255" t="s">
        <v>1821</v>
      </c>
      <c r="B849" s="248" t="s">
        <v>578</v>
      </c>
      <c r="C849" s="248" t="s">
        <v>579</v>
      </c>
      <c r="D849" s="248" t="s">
        <v>512</v>
      </c>
      <c r="E849" s="248">
        <v>2193.0</v>
      </c>
      <c r="F849" s="256">
        <v>45072.0</v>
      </c>
      <c r="G849" s="248">
        <v>2023.0</v>
      </c>
      <c r="H849" s="248" t="s">
        <v>513</v>
      </c>
      <c r="I849" s="248" t="s">
        <v>521</v>
      </c>
      <c r="J849" s="248" t="s">
        <v>297</v>
      </c>
      <c r="K849" s="249" t="s">
        <v>1822</v>
      </c>
      <c r="L849" s="257" t="s">
        <v>516</v>
      </c>
      <c r="M849" s="249"/>
      <c r="N849" s="249"/>
      <c r="O849" s="249"/>
      <c r="P849" s="249"/>
      <c r="Q849" s="249"/>
      <c r="R849" s="249"/>
      <c r="S849" s="249"/>
      <c r="T849" s="249"/>
      <c r="U849" s="249"/>
      <c r="V849" s="249"/>
    </row>
    <row r="850">
      <c r="A850" s="255" t="s">
        <v>1823</v>
      </c>
      <c r="B850" s="248" t="s">
        <v>534</v>
      </c>
      <c r="C850" s="248" t="s">
        <v>535</v>
      </c>
      <c r="D850" s="248" t="s">
        <v>512</v>
      </c>
      <c r="E850" s="248">
        <v>5062.0</v>
      </c>
      <c r="F850" s="256">
        <v>45072.0</v>
      </c>
      <c r="G850" s="248">
        <v>2023.0</v>
      </c>
      <c r="H850" s="248" t="s">
        <v>513</v>
      </c>
      <c r="I850" s="248" t="s">
        <v>514</v>
      </c>
      <c r="J850" s="248" t="s">
        <v>297</v>
      </c>
      <c r="K850" s="249" t="s">
        <v>1824</v>
      </c>
      <c r="L850" s="257" t="s">
        <v>516</v>
      </c>
      <c r="M850" s="249"/>
      <c r="N850" s="249"/>
      <c r="O850" s="249"/>
      <c r="P850" s="249"/>
      <c r="Q850" s="249"/>
      <c r="R850" s="249"/>
      <c r="S850" s="249"/>
      <c r="T850" s="249"/>
      <c r="U850" s="249"/>
      <c r="V850" s="249"/>
    </row>
    <row r="851">
      <c r="A851" s="255" t="s">
        <v>1825</v>
      </c>
      <c r="B851" s="248" t="s">
        <v>573</v>
      </c>
      <c r="C851" s="248" t="s">
        <v>574</v>
      </c>
      <c r="D851" s="248" t="s">
        <v>512</v>
      </c>
      <c r="E851" s="248">
        <v>224486.0</v>
      </c>
      <c r="F851" s="256">
        <v>45071.0</v>
      </c>
      <c r="G851" s="248">
        <v>2023.0</v>
      </c>
      <c r="H851" s="248" t="s">
        <v>513</v>
      </c>
      <c r="I851" s="248" t="s">
        <v>514</v>
      </c>
      <c r="J851" s="248" t="s">
        <v>297</v>
      </c>
      <c r="K851" s="249" t="s">
        <v>1826</v>
      </c>
      <c r="L851" s="257" t="s">
        <v>516</v>
      </c>
      <c r="M851" s="249"/>
      <c r="N851" s="249"/>
      <c r="O851" s="249"/>
      <c r="P851" s="249"/>
      <c r="Q851" s="249"/>
      <c r="R851" s="249"/>
      <c r="S851" s="249"/>
      <c r="T851" s="249"/>
      <c r="U851" s="249"/>
      <c r="V851" s="249"/>
    </row>
    <row r="852">
      <c r="A852" s="255" t="s">
        <v>1827</v>
      </c>
      <c r="B852" s="248" t="s">
        <v>1399</v>
      </c>
      <c r="C852" s="248" t="s">
        <v>764</v>
      </c>
      <c r="D852" s="248" t="s">
        <v>575</v>
      </c>
      <c r="E852" s="248">
        <v>3549.0</v>
      </c>
      <c r="F852" s="256">
        <v>45071.0</v>
      </c>
      <c r="G852" s="248">
        <v>2023.0</v>
      </c>
      <c r="H852" s="248" t="s">
        <v>513</v>
      </c>
      <c r="I852" s="248" t="s">
        <v>514</v>
      </c>
      <c r="J852" s="248" t="s">
        <v>297</v>
      </c>
      <c r="K852" s="249" t="s">
        <v>1828</v>
      </c>
      <c r="L852" s="257" t="s">
        <v>516</v>
      </c>
      <c r="M852" s="249"/>
      <c r="N852" s="249"/>
      <c r="O852" s="249"/>
      <c r="P852" s="249"/>
      <c r="Q852" s="249"/>
      <c r="R852" s="249"/>
      <c r="S852" s="249"/>
      <c r="T852" s="249"/>
      <c r="U852" s="249"/>
      <c r="V852" s="249"/>
    </row>
    <row r="853">
      <c r="A853" s="255" t="s">
        <v>1829</v>
      </c>
      <c r="B853" s="248" t="s">
        <v>573</v>
      </c>
      <c r="C853" s="248" t="s">
        <v>574</v>
      </c>
      <c r="D853" s="248" t="s">
        <v>512</v>
      </c>
      <c r="E853" s="248">
        <v>10172.0</v>
      </c>
      <c r="F853" s="256">
        <v>45070.0</v>
      </c>
      <c r="G853" s="248">
        <v>2023.0</v>
      </c>
      <c r="H853" s="248" t="s">
        <v>513</v>
      </c>
      <c r="I853" s="248" t="s">
        <v>521</v>
      </c>
      <c r="J853" s="248" t="s">
        <v>297</v>
      </c>
      <c r="K853" s="249" t="s">
        <v>1830</v>
      </c>
      <c r="L853" s="257" t="s">
        <v>516</v>
      </c>
      <c r="M853" s="249"/>
      <c r="N853" s="249"/>
      <c r="O853" s="249"/>
      <c r="P853" s="249"/>
      <c r="Q853" s="249"/>
      <c r="R853" s="249"/>
      <c r="S853" s="249"/>
      <c r="T853" s="249"/>
      <c r="U853" s="249"/>
      <c r="V853" s="249"/>
    </row>
    <row r="854">
      <c r="A854" s="255" t="s">
        <v>1831</v>
      </c>
      <c r="B854" s="248" t="s">
        <v>530</v>
      </c>
      <c r="C854" s="248" t="s">
        <v>531</v>
      </c>
      <c r="D854" s="248" t="s">
        <v>512</v>
      </c>
      <c r="E854" s="248">
        <v>3833.0</v>
      </c>
      <c r="F854" s="256">
        <v>45070.0</v>
      </c>
      <c r="G854" s="248">
        <v>2023.0</v>
      </c>
      <c r="H854" s="248" t="s">
        <v>513</v>
      </c>
      <c r="I854" s="248" t="s">
        <v>514</v>
      </c>
      <c r="J854" s="248" t="s">
        <v>297</v>
      </c>
      <c r="K854" s="249" t="s">
        <v>1832</v>
      </c>
      <c r="L854" s="257" t="s">
        <v>516</v>
      </c>
      <c r="M854" s="249"/>
      <c r="N854" s="249"/>
      <c r="O854" s="249"/>
      <c r="P854" s="249"/>
      <c r="Q854" s="249"/>
      <c r="R854" s="249"/>
      <c r="S854" s="249"/>
      <c r="T854" s="249"/>
      <c r="U854" s="249"/>
      <c r="V854" s="249"/>
    </row>
    <row r="855">
      <c r="A855" s="255" t="s">
        <v>1833</v>
      </c>
      <c r="B855" s="248" t="s">
        <v>525</v>
      </c>
      <c r="C855" s="248" t="s">
        <v>526</v>
      </c>
      <c r="D855" s="248" t="s">
        <v>575</v>
      </c>
      <c r="E855" s="248">
        <v>2219.0</v>
      </c>
      <c r="F855" s="256">
        <v>45070.0</v>
      </c>
      <c r="G855" s="248">
        <v>2023.0</v>
      </c>
      <c r="H855" s="248" t="s">
        <v>513</v>
      </c>
      <c r="I855" s="248" t="s">
        <v>514</v>
      </c>
      <c r="J855" s="248" t="s">
        <v>297</v>
      </c>
      <c r="K855" s="249" t="s">
        <v>1834</v>
      </c>
      <c r="L855" s="257" t="s">
        <v>516</v>
      </c>
      <c r="M855" s="249"/>
      <c r="N855" s="249"/>
      <c r="O855" s="249"/>
      <c r="P855" s="249"/>
      <c r="Q855" s="249"/>
      <c r="R855" s="249"/>
      <c r="S855" s="249"/>
      <c r="T855" s="249"/>
      <c r="U855" s="249"/>
      <c r="V855" s="249"/>
    </row>
    <row r="856">
      <c r="A856" s="255" t="s">
        <v>1835</v>
      </c>
      <c r="B856" s="248" t="s">
        <v>956</v>
      </c>
      <c r="C856" s="248" t="s">
        <v>680</v>
      </c>
      <c r="D856" s="248" t="s">
        <v>512</v>
      </c>
      <c r="E856" s="248">
        <v>67897.0</v>
      </c>
      <c r="F856" s="256">
        <v>45070.0</v>
      </c>
      <c r="G856" s="248">
        <v>2023.0</v>
      </c>
      <c r="H856" s="248" t="s">
        <v>513</v>
      </c>
      <c r="I856" s="248" t="s">
        <v>928</v>
      </c>
      <c r="J856" s="248" t="s">
        <v>297</v>
      </c>
      <c r="K856" s="249" t="s">
        <v>1836</v>
      </c>
      <c r="L856" s="257" t="s">
        <v>516</v>
      </c>
      <c r="M856" s="249"/>
      <c r="N856" s="249"/>
      <c r="O856" s="249"/>
      <c r="P856" s="249"/>
      <c r="Q856" s="249"/>
      <c r="R856" s="249"/>
      <c r="S856" s="249"/>
      <c r="T856" s="249"/>
      <c r="U856" s="249"/>
      <c r="V856" s="249"/>
    </row>
    <row r="857">
      <c r="A857" s="255" t="s">
        <v>1837</v>
      </c>
      <c r="B857" s="248" t="s">
        <v>586</v>
      </c>
      <c r="C857" s="248" t="s">
        <v>587</v>
      </c>
      <c r="D857" s="248" t="s">
        <v>512</v>
      </c>
      <c r="E857" s="248">
        <v>69765.0</v>
      </c>
      <c r="F857" s="256">
        <v>45070.0</v>
      </c>
      <c r="G857" s="248">
        <v>2023.0</v>
      </c>
      <c r="H857" s="248" t="s">
        <v>513</v>
      </c>
      <c r="I857" s="248" t="s">
        <v>514</v>
      </c>
      <c r="J857" s="248" t="s">
        <v>297</v>
      </c>
      <c r="K857" s="249" t="s">
        <v>1838</v>
      </c>
      <c r="L857" s="257" t="s">
        <v>516</v>
      </c>
      <c r="M857" s="249"/>
      <c r="N857" s="249"/>
      <c r="O857" s="249"/>
      <c r="P857" s="249"/>
      <c r="Q857" s="249"/>
      <c r="R857" s="249"/>
      <c r="S857" s="249"/>
      <c r="T857" s="249"/>
      <c r="U857" s="249"/>
      <c r="V857" s="249"/>
    </row>
    <row r="858">
      <c r="A858" s="255" t="s">
        <v>1839</v>
      </c>
      <c r="B858" s="248" t="s">
        <v>668</v>
      </c>
      <c r="C858" s="248" t="s">
        <v>669</v>
      </c>
      <c r="D858" s="248" t="s">
        <v>512</v>
      </c>
      <c r="E858" s="248">
        <v>4135.0</v>
      </c>
      <c r="F858" s="256">
        <v>45069.0</v>
      </c>
      <c r="G858" s="248">
        <v>2023.0</v>
      </c>
      <c r="H858" s="248" t="s">
        <v>513</v>
      </c>
      <c r="I858" s="248" t="s">
        <v>521</v>
      </c>
      <c r="J858" s="248" t="s">
        <v>297</v>
      </c>
      <c r="K858" s="249" t="s">
        <v>1840</v>
      </c>
      <c r="L858" s="257" t="s">
        <v>516</v>
      </c>
      <c r="M858" s="249"/>
      <c r="N858" s="249"/>
      <c r="O858" s="249"/>
      <c r="P858" s="249"/>
      <c r="Q858" s="249"/>
      <c r="R858" s="249"/>
      <c r="S858" s="249"/>
      <c r="T858" s="249"/>
      <c r="U858" s="249"/>
      <c r="V858" s="249"/>
    </row>
    <row r="859">
      <c r="A859" s="255" t="s">
        <v>1841</v>
      </c>
      <c r="B859" s="248" t="s">
        <v>530</v>
      </c>
      <c r="C859" s="248" t="s">
        <v>531</v>
      </c>
      <c r="D859" s="248" t="s">
        <v>512</v>
      </c>
      <c r="E859" s="248">
        <v>5525.0</v>
      </c>
      <c r="F859" s="256">
        <v>45069.0</v>
      </c>
      <c r="G859" s="248">
        <v>2023.0</v>
      </c>
      <c r="H859" s="248" t="s">
        <v>513</v>
      </c>
      <c r="I859" s="248" t="s">
        <v>521</v>
      </c>
      <c r="J859" s="248" t="s">
        <v>297</v>
      </c>
      <c r="K859" s="249" t="s">
        <v>1842</v>
      </c>
      <c r="L859" s="257" t="s">
        <v>516</v>
      </c>
      <c r="M859" s="249"/>
      <c r="N859" s="249"/>
      <c r="O859" s="249"/>
      <c r="P859" s="249"/>
      <c r="Q859" s="249"/>
      <c r="R859" s="249"/>
      <c r="S859" s="249"/>
      <c r="T859" s="249"/>
      <c r="U859" s="249"/>
      <c r="V859" s="249"/>
    </row>
    <row r="860">
      <c r="A860" s="255" t="s">
        <v>1843</v>
      </c>
      <c r="B860" s="248" t="s">
        <v>578</v>
      </c>
      <c r="C860" s="248" t="s">
        <v>579</v>
      </c>
      <c r="D860" s="248" t="s">
        <v>520</v>
      </c>
      <c r="E860" s="248">
        <v>3336.0</v>
      </c>
      <c r="F860" s="256">
        <v>45068.0</v>
      </c>
      <c r="G860" s="248">
        <v>2023.0</v>
      </c>
      <c r="H860" s="248" t="s">
        <v>513</v>
      </c>
      <c r="I860" s="248" t="s">
        <v>514</v>
      </c>
      <c r="J860" s="248" t="s">
        <v>309</v>
      </c>
      <c r="K860" s="249" t="s">
        <v>1844</v>
      </c>
      <c r="L860" s="257" t="s">
        <v>516</v>
      </c>
      <c r="M860" s="249"/>
      <c r="N860" s="249"/>
      <c r="O860" s="249"/>
      <c r="P860" s="249"/>
      <c r="Q860" s="249"/>
      <c r="R860" s="249"/>
      <c r="S860" s="249"/>
      <c r="T860" s="249"/>
      <c r="U860" s="249"/>
      <c r="V860" s="249"/>
    </row>
    <row r="861">
      <c r="A861" s="255" t="s">
        <v>1845</v>
      </c>
      <c r="B861" s="248" t="s">
        <v>705</v>
      </c>
      <c r="C861" s="248" t="s">
        <v>706</v>
      </c>
      <c r="D861" s="248" t="s">
        <v>575</v>
      </c>
      <c r="E861" s="248">
        <v>1474.0</v>
      </c>
      <c r="F861" s="256">
        <v>45065.0</v>
      </c>
      <c r="G861" s="248">
        <v>2023.0</v>
      </c>
      <c r="H861" s="248" t="s">
        <v>513</v>
      </c>
      <c r="I861" s="248" t="s">
        <v>514</v>
      </c>
      <c r="J861" s="248" t="s">
        <v>297</v>
      </c>
      <c r="K861" s="249" t="s">
        <v>1846</v>
      </c>
      <c r="L861" s="257" t="s">
        <v>516</v>
      </c>
      <c r="M861" s="249"/>
      <c r="N861" s="249"/>
      <c r="O861" s="249"/>
      <c r="P861" s="249"/>
      <c r="Q861" s="249"/>
      <c r="R861" s="249"/>
      <c r="S861" s="249"/>
      <c r="T861" s="249"/>
      <c r="U861" s="249"/>
      <c r="V861" s="249"/>
    </row>
    <row r="862">
      <c r="A862" s="255" t="s">
        <v>1847</v>
      </c>
      <c r="B862" s="248" t="s">
        <v>75</v>
      </c>
      <c r="C862" s="248" t="s">
        <v>675</v>
      </c>
      <c r="D862" s="248" t="s">
        <v>512</v>
      </c>
      <c r="E862" s="248">
        <v>46679.0</v>
      </c>
      <c r="F862" s="256">
        <v>45065.0</v>
      </c>
      <c r="G862" s="248">
        <v>2023.0</v>
      </c>
      <c r="H862" s="248" t="s">
        <v>513</v>
      </c>
      <c r="I862" s="248" t="s">
        <v>514</v>
      </c>
      <c r="J862" s="248" t="s">
        <v>297</v>
      </c>
      <c r="K862" s="249" t="s">
        <v>1848</v>
      </c>
      <c r="L862" s="257" t="s">
        <v>516</v>
      </c>
      <c r="M862" s="249"/>
      <c r="N862" s="249"/>
      <c r="O862" s="249"/>
      <c r="P862" s="249"/>
      <c r="Q862" s="249"/>
      <c r="R862" s="249"/>
      <c r="S862" s="249"/>
      <c r="T862" s="249"/>
      <c r="U862" s="249"/>
      <c r="V862" s="249"/>
    </row>
    <row r="863">
      <c r="A863" s="255" t="s">
        <v>1849</v>
      </c>
      <c r="B863" s="248" t="s">
        <v>530</v>
      </c>
      <c r="C863" s="248" t="s">
        <v>531</v>
      </c>
      <c r="D863" s="248" t="s">
        <v>512</v>
      </c>
      <c r="E863" s="248">
        <v>9182.0</v>
      </c>
      <c r="F863" s="256">
        <v>45064.0</v>
      </c>
      <c r="G863" s="248">
        <v>2023.0</v>
      </c>
      <c r="H863" s="248" t="s">
        <v>513</v>
      </c>
      <c r="I863" s="248" t="s">
        <v>514</v>
      </c>
      <c r="J863" s="248" t="s">
        <v>297</v>
      </c>
      <c r="K863" s="249" t="s">
        <v>1850</v>
      </c>
      <c r="L863" s="257" t="s">
        <v>516</v>
      </c>
      <c r="M863" s="249"/>
      <c r="N863" s="249"/>
      <c r="O863" s="249"/>
      <c r="P863" s="249"/>
      <c r="Q863" s="249"/>
      <c r="R863" s="249"/>
      <c r="S863" s="249"/>
      <c r="T863" s="249"/>
      <c r="U863" s="249"/>
      <c r="V863" s="249"/>
    </row>
    <row r="864">
      <c r="A864" s="255" t="s">
        <v>1851</v>
      </c>
      <c r="B864" s="248" t="s">
        <v>705</v>
      </c>
      <c r="C864" s="248" t="s">
        <v>706</v>
      </c>
      <c r="D864" s="248" t="s">
        <v>520</v>
      </c>
      <c r="E864" s="248">
        <v>7456.0</v>
      </c>
      <c r="F864" s="256">
        <v>45064.0</v>
      </c>
      <c r="G864" s="248">
        <v>2023.0</v>
      </c>
      <c r="H864" s="248" t="s">
        <v>513</v>
      </c>
      <c r="I864" s="248" t="s">
        <v>514</v>
      </c>
      <c r="J864" s="248" t="s">
        <v>309</v>
      </c>
      <c r="K864" s="249" t="s">
        <v>1852</v>
      </c>
      <c r="L864" s="257" t="s">
        <v>516</v>
      </c>
      <c r="M864" s="249"/>
      <c r="N864" s="249"/>
      <c r="O864" s="249"/>
      <c r="P864" s="249"/>
      <c r="Q864" s="249"/>
      <c r="R864" s="249"/>
      <c r="S864" s="249"/>
      <c r="T864" s="249"/>
      <c r="U864" s="249"/>
      <c r="V864" s="249"/>
    </row>
    <row r="865">
      <c r="A865" s="255" t="s">
        <v>1853</v>
      </c>
      <c r="B865" s="248" t="s">
        <v>956</v>
      </c>
      <c r="C865" s="248" t="s">
        <v>680</v>
      </c>
      <c r="D865" s="248" t="s">
        <v>512</v>
      </c>
      <c r="E865" s="248">
        <v>28003.0</v>
      </c>
      <c r="F865" s="256">
        <v>45063.0</v>
      </c>
      <c r="G865" s="248">
        <v>2023.0</v>
      </c>
      <c r="H865" s="248" t="s">
        <v>513</v>
      </c>
      <c r="I865" s="248" t="s">
        <v>514</v>
      </c>
      <c r="J865" s="248" t="s">
        <v>297</v>
      </c>
      <c r="K865" s="249" t="s">
        <v>1854</v>
      </c>
      <c r="L865" s="257" t="s">
        <v>516</v>
      </c>
      <c r="M865" s="249"/>
      <c r="N865" s="249"/>
      <c r="O865" s="249"/>
      <c r="P865" s="249"/>
      <c r="Q865" s="249"/>
      <c r="R865" s="249"/>
      <c r="S865" s="249"/>
      <c r="T865" s="249"/>
      <c r="U865" s="249"/>
      <c r="V865" s="249"/>
    </row>
    <row r="866">
      <c r="A866" s="255" t="s">
        <v>1855</v>
      </c>
      <c r="B866" s="248" t="s">
        <v>530</v>
      </c>
      <c r="C866" s="248" t="s">
        <v>531</v>
      </c>
      <c r="D866" s="248" t="s">
        <v>512</v>
      </c>
      <c r="E866" s="248">
        <v>9197.0</v>
      </c>
      <c r="F866" s="256">
        <v>45061.0</v>
      </c>
      <c r="G866" s="248">
        <v>2023.0</v>
      </c>
      <c r="H866" s="248" t="s">
        <v>513</v>
      </c>
      <c r="I866" s="248" t="s">
        <v>514</v>
      </c>
      <c r="J866" s="248" t="s">
        <v>297</v>
      </c>
      <c r="K866" s="249" t="s">
        <v>1856</v>
      </c>
      <c r="L866" s="257" t="s">
        <v>516</v>
      </c>
      <c r="M866" s="249"/>
      <c r="N866" s="249"/>
      <c r="O866" s="249"/>
      <c r="P866" s="249"/>
      <c r="Q866" s="249"/>
      <c r="R866" s="249"/>
      <c r="S866" s="249"/>
      <c r="T866" s="249"/>
      <c r="U866" s="249"/>
      <c r="V866" s="249"/>
    </row>
    <row r="867">
      <c r="A867" s="255" t="s">
        <v>1857</v>
      </c>
      <c r="B867" s="248" t="s">
        <v>845</v>
      </c>
      <c r="C867" s="248" t="s">
        <v>733</v>
      </c>
      <c r="D867" s="248" t="s">
        <v>520</v>
      </c>
      <c r="E867" s="248">
        <v>607787.0</v>
      </c>
      <c r="F867" s="256">
        <v>45059.0</v>
      </c>
      <c r="G867" s="248">
        <v>2023.0</v>
      </c>
      <c r="H867" s="248" t="s">
        <v>513</v>
      </c>
      <c r="I867" s="248" t="s">
        <v>514</v>
      </c>
      <c r="J867" s="248" t="s">
        <v>309</v>
      </c>
      <c r="K867" s="249" t="s">
        <v>1858</v>
      </c>
      <c r="L867" s="257" t="s">
        <v>516</v>
      </c>
      <c r="M867" s="249"/>
      <c r="N867" s="249"/>
      <c r="O867" s="249"/>
      <c r="P867" s="249"/>
      <c r="Q867" s="249"/>
      <c r="R867" s="249"/>
      <c r="S867" s="249"/>
      <c r="T867" s="249"/>
      <c r="U867" s="249"/>
      <c r="V867" s="249"/>
    </row>
    <row r="868">
      <c r="A868" s="255" t="s">
        <v>1859</v>
      </c>
      <c r="B868" s="248" t="s">
        <v>815</v>
      </c>
      <c r="C868" s="248" t="s">
        <v>728</v>
      </c>
      <c r="D868" s="248" t="s">
        <v>512</v>
      </c>
      <c r="E868" s="248">
        <v>5815591.0</v>
      </c>
      <c r="F868" s="256">
        <v>45058.0</v>
      </c>
      <c r="G868" s="248">
        <v>2023.0</v>
      </c>
      <c r="H868" s="248" t="s">
        <v>513</v>
      </c>
      <c r="I868" s="248" t="s">
        <v>514</v>
      </c>
      <c r="J868" s="248" t="s">
        <v>297</v>
      </c>
      <c r="K868" s="249" t="s">
        <v>1860</v>
      </c>
      <c r="L868" s="257" t="s">
        <v>516</v>
      </c>
      <c r="M868" s="249"/>
      <c r="N868" s="249"/>
      <c r="O868" s="249"/>
      <c r="P868" s="249"/>
      <c r="Q868" s="249"/>
      <c r="R868" s="249"/>
      <c r="S868" s="249"/>
      <c r="T868" s="249"/>
      <c r="U868" s="249"/>
      <c r="V868" s="249"/>
    </row>
    <row r="869">
      <c r="A869" s="255" t="s">
        <v>1861</v>
      </c>
      <c r="B869" s="248" t="s">
        <v>924</v>
      </c>
      <c r="C869" s="248" t="s">
        <v>725</v>
      </c>
      <c r="D869" s="248" t="s">
        <v>512</v>
      </c>
      <c r="E869" s="248">
        <v>1925397.0</v>
      </c>
      <c r="F869" s="256">
        <v>45058.0</v>
      </c>
      <c r="G869" s="248">
        <v>2023.0</v>
      </c>
      <c r="H869" s="248" t="s">
        <v>513</v>
      </c>
      <c r="I869" s="248" t="s">
        <v>514</v>
      </c>
      <c r="J869" s="248" t="s">
        <v>297</v>
      </c>
      <c r="K869" s="249" t="s">
        <v>1862</v>
      </c>
      <c r="L869" s="257" t="s">
        <v>516</v>
      </c>
      <c r="M869" s="249"/>
      <c r="N869" s="249"/>
      <c r="O869" s="249"/>
      <c r="P869" s="249"/>
      <c r="Q869" s="249"/>
      <c r="R869" s="249"/>
      <c r="S869" s="249"/>
      <c r="T869" s="249"/>
      <c r="U869" s="249"/>
      <c r="V869" s="249"/>
    </row>
    <row r="870">
      <c r="A870" s="255" t="s">
        <v>1863</v>
      </c>
      <c r="B870" s="248" t="s">
        <v>573</v>
      </c>
      <c r="C870" s="248" t="s">
        <v>574</v>
      </c>
      <c r="D870" s="248" t="s">
        <v>520</v>
      </c>
      <c r="E870" s="248">
        <v>1809.0</v>
      </c>
      <c r="F870" s="256">
        <v>45058.0</v>
      </c>
      <c r="G870" s="248">
        <v>2023.0</v>
      </c>
      <c r="H870" s="248" t="s">
        <v>546</v>
      </c>
      <c r="I870" s="248" t="s">
        <v>514</v>
      </c>
      <c r="J870" s="248" t="s">
        <v>309</v>
      </c>
      <c r="K870" s="249" t="s">
        <v>1864</v>
      </c>
      <c r="L870" s="257" t="s">
        <v>516</v>
      </c>
      <c r="M870" s="249"/>
      <c r="N870" s="249"/>
      <c r="O870" s="249"/>
      <c r="P870" s="249"/>
      <c r="Q870" s="249"/>
      <c r="R870" s="249"/>
      <c r="S870" s="249"/>
      <c r="T870" s="249"/>
      <c r="U870" s="249"/>
      <c r="V870" s="249"/>
    </row>
    <row r="871">
      <c r="A871" s="255" t="s">
        <v>1865</v>
      </c>
      <c r="B871" s="248" t="s">
        <v>641</v>
      </c>
      <c r="C871" s="248" t="s">
        <v>633</v>
      </c>
      <c r="D871" s="248" t="s">
        <v>520</v>
      </c>
      <c r="E871" s="248">
        <v>17728.0</v>
      </c>
      <c r="F871" s="256">
        <v>45058.0</v>
      </c>
      <c r="G871" s="248">
        <v>2023.0</v>
      </c>
      <c r="H871" s="248" t="s">
        <v>513</v>
      </c>
      <c r="I871" s="248" t="s">
        <v>514</v>
      </c>
      <c r="J871" s="248" t="s">
        <v>309</v>
      </c>
      <c r="K871" s="249" t="s">
        <v>1686</v>
      </c>
      <c r="L871" s="257" t="s">
        <v>516</v>
      </c>
      <c r="M871" s="249"/>
      <c r="N871" s="249"/>
      <c r="O871" s="249"/>
      <c r="P871" s="249"/>
      <c r="Q871" s="249"/>
      <c r="R871" s="249"/>
      <c r="S871" s="249"/>
      <c r="T871" s="249"/>
      <c r="U871" s="249"/>
      <c r="V871" s="249"/>
    </row>
    <row r="872">
      <c r="A872" s="255" t="s">
        <v>1866</v>
      </c>
      <c r="B872" s="248" t="s">
        <v>1399</v>
      </c>
      <c r="C872" s="248" t="s">
        <v>764</v>
      </c>
      <c r="D872" s="248" t="s">
        <v>575</v>
      </c>
      <c r="E872" s="248">
        <v>4598.0</v>
      </c>
      <c r="F872" s="256">
        <v>45058.0</v>
      </c>
      <c r="G872" s="248">
        <v>2023.0</v>
      </c>
      <c r="H872" s="248" t="s">
        <v>551</v>
      </c>
      <c r="I872" s="248" t="s">
        <v>620</v>
      </c>
      <c r="J872" s="248" t="s">
        <v>297</v>
      </c>
      <c r="K872" s="249" t="s">
        <v>1867</v>
      </c>
      <c r="L872" s="257" t="s">
        <v>516</v>
      </c>
      <c r="M872" s="249"/>
      <c r="N872" s="249"/>
      <c r="O872" s="249"/>
      <c r="P872" s="249"/>
      <c r="Q872" s="249"/>
      <c r="R872" s="249"/>
      <c r="S872" s="249"/>
      <c r="T872" s="249"/>
      <c r="U872" s="249"/>
      <c r="V872" s="249"/>
    </row>
    <row r="873">
      <c r="A873" s="255" t="s">
        <v>1394</v>
      </c>
      <c r="B873" s="248" t="s">
        <v>534</v>
      </c>
      <c r="C873" s="248" t="s">
        <v>535</v>
      </c>
      <c r="D873" s="248" t="s">
        <v>575</v>
      </c>
      <c r="E873" s="248">
        <v>1116.0</v>
      </c>
      <c r="F873" s="256">
        <v>45058.0</v>
      </c>
      <c r="G873" s="248">
        <v>2023.0</v>
      </c>
      <c r="H873" s="248" t="s">
        <v>546</v>
      </c>
      <c r="I873" s="248" t="s">
        <v>521</v>
      </c>
      <c r="J873" s="248" t="s">
        <v>297</v>
      </c>
      <c r="K873" s="249" t="s">
        <v>1868</v>
      </c>
      <c r="L873" s="257" t="s">
        <v>516</v>
      </c>
      <c r="M873" s="249"/>
      <c r="N873" s="249"/>
      <c r="O873" s="249"/>
      <c r="P873" s="249"/>
      <c r="Q873" s="249"/>
      <c r="R873" s="249"/>
      <c r="S873" s="249"/>
      <c r="T873" s="249"/>
      <c r="U873" s="249"/>
      <c r="V873" s="249"/>
    </row>
    <row r="874">
      <c r="A874" s="255" t="s">
        <v>1869</v>
      </c>
      <c r="B874" s="248" t="s">
        <v>573</v>
      </c>
      <c r="C874" s="248" t="s">
        <v>574</v>
      </c>
      <c r="D874" s="248" t="s">
        <v>512</v>
      </c>
      <c r="E874" s="248">
        <v>12759.0</v>
      </c>
      <c r="F874" s="256">
        <v>45057.0</v>
      </c>
      <c r="G874" s="248">
        <v>2023.0</v>
      </c>
      <c r="H874" s="248" t="s">
        <v>546</v>
      </c>
      <c r="I874" s="248" t="s">
        <v>561</v>
      </c>
      <c r="J874" s="248" t="s">
        <v>309</v>
      </c>
      <c r="K874" s="249" t="s">
        <v>1870</v>
      </c>
      <c r="L874" s="257" t="s">
        <v>516</v>
      </c>
      <c r="M874" s="249"/>
      <c r="N874" s="249"/>
      <c r="O874" s="249"/>
      <c r="P874" s="249"/>
      <c r="Q874" s="249"/>
      <c r="R874" s="249"/>
      <c r="S874" s="249"/>
      <c r="T874" s="249"/>
      <c r="U874" s="249"/>
      <c r="V874" s="249"/>
    </row>
    <row r="875">
      <c r="A875" s="255" t="s">
        <v>1871</v>
      </c>
      <c r="B875" s="248" t="s">
        <v>894</v>
      </c>
      <c r="C875" s="248" t="s">
        <v>639</v>
      </c>
      <c r="D875" s="248" t="s">
        <v>512</v>
      </c>
      <c r="E875" s="248">
        <v>103974.0</v>
      </c>
      <c r="F875" s="256">
        <v>45056.0</v>
      </c>
      <c r="G875" s="248">
        <v>2023.0</v>
      </c>
      <c r="H875" s="248" t="s">
        <v>513</v>
      </c>
      <c r="I875" s="248" t="s">
        <v>514</v>
      </c>
      <c r="J875" s="248" t="s">
        <v>297</v>
      </c>
      <c r="K875" s="249" t="s">
        <v>1872</v>
      </c>
      <c r="L875" s="257" t="s">
        <v>516</v>
      </c>
      <c r="M875" s="249"/>
      <c r="N875" s="249"/>
      <c r="O875" s="249"/>
      <c r="P875" s="249"/>
      <c r="Q875" s="249"/>
      <c r="R875" s="249"/>
      <c r="S875" s="249"/>
      <c r="T875" s="249"/>
      <c r="U875" s="249"/>
      <c r="V875" s="249"/>
    </row>
    <row r="876">
      <c r="A876" s="255" t="s">
        <v>1815</v>
      </c>
      <c r="B876" s="248" t="s">
        <v>530</v>
      </c>
      <c r="C876" s="248" t="s">
        <v>531</v>
      </c>
      <c r="D876" s="248" t="s">
        <v>520</v>
      </c>
      <c r="E876" s="248">
        <v>28975.0</v>
      </c>
      <c r="F876" s="256">
        <v>45056.0</v>
      </c>
      <c r="G876" s="248">
        <v>2023.0</v>
      </c>
      <c r="H876" s="248" t="s">
        <v>513</v>
      </c>
      <c r="I876" s="248" t="s">
        <v>514</v>
      </c>
      <c r="J876" s="248" t="s">
        <v>309</v>
      </c>
      <c r="K876" s="249" t="s">
        <v>1873</v>
      </c>
      <c r="L876" s="257" t="s">
        <v>516</v>
      </c>
      <c r="M876" s="249"/>
      <c r="N876" s="249"/>
      <c r="O876" s="249"/>
      <c r="P876" s="249"/>
      <c r="Q876" s="249"/>
      <c r="R876" s="249"/>
      <c r="S876" s="249"/>
      <c r="T876" s="249"/>
      <c r="U876" s="249"/>
      <c r="V876" s="249"/>
    </row>
    <row r="877">
      <c r="A877" s="255" t="s">
        <v>1874</v>
      </c>
      <c r="B877" s="248" t="s">
        <v>518</v>
      </c>
      <c r="C877" s="248" t="s">
        <v>519</v>
      </c>
      <c r="D877" s="248" t="s">
        <v>512</v>
      </c>
      <c r="E877" s="248">
        <v>1034.0</v>
      </c>
      <c r="F877" s="256">
        <v>45055.0</v>
      </c>
      <c r="G877" s="248">
        <v>2023.0</v>
      </c>
      <c r="H877" s="248" t="s">
        <v>551</v>
      </c>
      <c r="I877" s="248" t="s">
        <v>618</v>
      </c>
      <c r="J877" s="248" t="s">
        <v>297</v>
      </c>
      <c r="K877" s="249" t="s">
        <v>1875</v>
      </c>
      <c r="L877" s="257" t="s">
        <v>516</v>
      </c>
      <c r="M877" s="249"/>
      <c r="N877" s="249"/>
      <c r="O877" s="249"/>
      <c r="P877" s="249"/>
      <c r="Q877" s="249"/>
      <c r="R877" s="249"/>
      <c r="S877" s="249"/>
      <c r="T877" s="249"/>
      <c r="U877" s="249"/>
      <c r="V877" s="249"/>
    </row>
    <row r="878">
      <c r="A878" s="255" t="s">
        <v>1876</v>
      </c>
      <c r="B878" s="248" t="s">
        <v>679</v>
      </c>
      <c r="C878" s="248" t="s">
        <v>663</v>
      </c>
      <c r="D878" s="248" t="s">
        <v>512</v>
      </c>
      <c r="E878" s="248">
        <v>25527.0</v>
      </c>
      <c r="F878" s="256">
        <v>45052.0</v>
      </c>
      <c r="G878" s="248">
        <v>2023.0</v>
      </c>
      <c r="H878" s="248" t="s">
        <v>513</v>
      </c>
      <c r="I878" s="248" t="s">
        <v>514</v>
      </c>
      <c r="J878" s="248" t="s">
        <v>297</v>
      </c>
      <c r="K878" s="249" t="s">
        <v>1877</v>
      </c>
      <c r="L878" s="257" t="s">
        <v>516</v>
      </c>
      <c r="M878" s="249"/>
      <c r="N878" s="249"/>
      <c r="O878" s="249"/>
      <c r="P878" s="249"/>
      <c r="Q878" s="249"/>
      <c r="R878" s="249"/>
      <c r="S878" s="249"/>
      <c r="T878" s="249"/>
      <c r="U878" s="249"/>
      <c r="V878" s="249"/>
    </row>
    <row r="879">
      <c r="A879" s="255" t="s">
        <v>1394</v>
      </c>
      <c r="B879" s="248" t="s">
        <v>534</v>
      </c>
      <c r="C879" s="248" t="s">
        <v>535</v>
      </c>
      <c r="D879" s="248" t="s">
        <v>575</v>
      </c>
      <c r="E879" s="248">
        <v>1971.0</v>
      </c>
      <c r="F879" s="256">
        <v>45051.0</v>
      </c>
      <c r="G879" s="248">
        <v>2023.0</v>
      </c>
      <c r="H879" s="248" t="s">
        <v>546</v>
      </c>
      <c r="I879" s="248" t="s">
        <v>514</v>
      </c>
      <c r="J879" s="248" t="s">
        <v>297</v>
      </c>
      <c r="K879" s="249" t="s">
        <v>1878</v>
      </c>
      <c r="L879" s="257" t="s">
        <v>516</v>
      </c>
      <c r="M879" s="249"/>
      <c r="N879" s="249"/>
      <c r="O879" s="249"/>
      <c r="P879" s="249"/>
      <c r="Q879" s="249"/>
      <c r="R879" s="249"/>
      <c r="S879" s="249"/>
      <c r="T879" s="249"/>
      <c r="U879" s="249"/>
      <c r="V879" s="249"/>
    </row>
    <row r="880">
      <c r="A880" s="255" t="s">
        <v>1394</v>
      </c>
      <c r="B880" s="248" t="s">
        <v>534</v>
      </c>
      <c r="C880" s="248" t="s">
        <v>535</v>
      </c>
      <c r="D880" s="248" t="s">
        <v>575</v>
      </c>
      <c r="E880" s="248">
        <v>26561.0</v>
      </c>
      <c r="F880" s="256">
        <v>45051.0</v>
      </c>
      <c r="G880" s="248">
        <v>2023.0</v>
      </c>
      <c r="H880" s="248" t="s">
        <v>513</v>
      </c>
      <c r="I880" s="248" t="s">
        <v>514</v>
      </c>
      <c r="J880" s="248" t="s">
        <v>297</v>
      </c>
      <c r="K880" s="249" t="s">
        <v>1879</v>
      </c>
      <c r="L880" s="257" t="s">
        <v>516</v>
      </c>
      <c r="M880" s="249"/>
      <c r="N880" s="249"/>
      <c r="O880" s="249"/>
      <c r="P880" s="249"/>
      <c r="Q880" s="249"/>
      <c r="R880" s="249"/>
      <c r="S880" s="249"/>
      <c r="T880" s="249"/>
      <c r="U880" s="249"/>
      <c r="V880" s="249"/>
    </row>
    <row r="881">
      <c r="A881" s="255" t="s">
        <v>1880</v>
      </c>
      <c r="B881" s="248" t="s">
        <v>721</v>
      </c>
      <c r="C881" s="248" t="s">
        <v>649</v>
      </c>
      <c r="D881" s="248" t="s">
        <v>512</v>
      </c>
      <c r="E881" s="248">
        <v>8725.0</v>
      </c>
      <c r="F881" s="256">
        <v>45051.0</v>
      </c>
      <c r="G881" s="248">
        <v>2023.0</v>
      </c>
      <c r="H881" s="248" t="s">
        <v>513</v>
      </c>
      <c r="I881" s="248" t="s">
        <v>514</v>
      </c>
      <c r="J881" s="248" t="s">
        <v>297</v>
      </c>
      <c r="K881" s="249" t="s">
        <v>1881</v>
      </c>
      <c r="L881" s="257" t="s">
        <v>516</v>
      </c>
      <c r="M881" s="249"/>
      <c r="N881" s="249"/>
      <c r="O881" s="249"/>
      <c r="P881" s="249"/>
      <c r="Q881" s="249"/>
      <c r="R881" s="249"/>
      <c r="S881" s="249"/>
      <c r="T881" s="249"/>
      <c r="U881" s="249"/>
      <c r="V881" s="249"/>
    </row>
    <row r="882">
      <c r="A882" s="255" t="s">
        <v>1882</v>
      </c>
      <c r="B882" s="248" t="s">
        <v>831</v>
      </c>
      <c r="C882" s="248" t="s">
        <v>754</v>
      </c>
      <c r="D882" s="248" t="s">
        <v>512</v>
      </c>
      <c r="E882" s="248">
        <v>49000.0</v>
      </c>
      <c r="F882" s="256">
        <v>45050.0</v>
      </c>
      <c r="G882" s="248">
        <v>2023.0</v>
      </c>
      <c r="H882" s="248" t="s">
        <v>546</v>
      </c>
      <c r="I882" s="248" t="s">
        <v>514</v>
      </c>
      <c r="J882" s="248" t="s">
        <v>297</v>
      </c>
      <c r="K882" s="249" t="s">
        <v>1883</v>
      </c>
      <c r="L882" s="257" t="s">
        <v>516</v>
      </c>
      <c r="M882" s="249"/>
      <c r="N882" s="249"/>
      <c r="O882" s="249"/>
      <c r="P882" s="249"/>
      <c r="Q882" s="249"/>
      <c r="R882" s="249"/>
      <c r="S882" s="249"/>
      <c r="T882" s="249"/>
      <c r="U882" s="249"/>
      <c r="V882" s="249"/>
    </row>
    <row r="883">
      <c r="A883" s="255" t="s">
        <v>1884</v>
      </c>
      <c r="B883" s="248" t="s">
        <v>1259</v>
      </c>
      <c r="C883" s="248" t="s">
        <v>740</v>
      </c>
      <c r="D883" s="248" t="s">
        <v>512</v>
      </c>
      <c r="E883" s="248">
        <v>2492.0</v>
      </c>
      <c r="F883" s="256">
        <v>45048.0</v>
      </c>
      <c r="G883" s="248">
        <v>2023.0</v>
      </c>
      <c r="H883" s="248" t="s">
        <v>513</v>
      </c>
      <c r="I883" s="248" t="s">
        <v>514</v>
      </c>
      <c r="J883" s="248" t="s">
        <v>309</v>
      </c>
      <c r="K883" s="249" t="s">
        <v>1885</v>
      </c>
      <c r="L883" s="257" t="s">
        <v>516</v>
      </c>
      <c r="M883" s="249"/>
      <c r="N883" s="249"/>
      <c r="O883" s="249"/>
      <c r="P883" s="249"/>
      <c r="Q883" s="249"/>
      <c r="R883" s="249"/>
      <c r="S883" s="249"/>
      <c r="T883" s="249"/>
      <c r="U883" s="249"/>
      <c r="V883" s="249"/>
    </row>
    <row r="884">
      <c r="A884" s="255" t="s">
        <v>1886</v>
      </c>
      <c r="B884" s="248" t="s">
        <v>878</v>
      </c>
      <c r="C884" s="248" t="s">
        <v>643</v>
      </c>
      <c r="D884" s="248" t="s">
        <v>512</v>
      </c>
      <c r="E884" s="248">
        <v>48392.0</v>
      </c>
      <c r="F884" s="256">
        <v>45047.0</v>
      </c>
      <c r="G884" s="248">
        <v>2023.0</v>
      </c>
      <c r="H884" s="248" t="s">
        <v>513</v>
      </c>
      <c r="I884" s="248" t="s">
        <v>521</v>
      </c>
      <c r="J884" s="248" t="s">
        <v>297</v>
      </c>
      <c r="K884" s="249" t="s">
        <v>1887</v>
      </c>
      <c r="L884" s="257" t="s">
        <v>516</v>
      </c>
      <c r="M884" s="249"/>
      <c r="N884" s="249"/>
      <c r="O884" s="249"/>
      <c r="P884" s="249"/>
      <c r="Q884" s="249"/>
      <c r="R884" s="249"/>
      <c r="S884" s="249"/>
      <c r="T884" s="249"/>
      <c r="U884" s="249"/>
      <c r="V884" s="249"/>
    </row>
    <row r="885">
      <c r="A885" s="255" t="s">
        <v>1888</v>
      </c>
      <c r="B885" s="248" t="s">
        <v>573</v>
      </c>
      <c r="C885" s="248" t="s">
        <v>574</v>
      </c>
      <c r="D885" s="248" t="s">
        <v>512</v>
      </c>
      <c r="E885" s="248">
        <v>56816.0</v>
      </c>
      <c r="F885" s="256">
        <v>45047.0</v>
      </c>
      <c r="G885" s="248">
        <v>2023.0</v>
      </c>
      <c r="H885" s="248" t="s">
        <v>513</v>
      </c>
      <c r="I885" s="248" t="s">
        <v>514</v>
      </c>
      <c r="J885" s="248" t="s">
        <v>297</v>
      </c>
      <c r="K885" s="249" t="s">
        <v>1889</v>
      </c>
      <c r="L885" s="257" t="s">
        <v>516</v>
      </c>
      <c r="M885" s="249"/>
      <c r="N885" s="249"/>
      <c r="O885" s="249"/>
      <c r="P885" s="249"/>
      <c r="Q885" s="249"/>
      <c r="R885" s="249"/>
      <c r="S885" s="249"/>
      <c r="T885" s="249"/>
      <c r="U885" s="249"/>
      <c r="V885" s="249"/>
    </row>
    <row r="886">
      <c r="A886" s="255" t="s">
        <v>1890</v>
      </c>
      <c r="B886" s="248" t="s">
        <v>578</v>
      </c>
      <c r="C886" s="248" t="s">
        <v>579</v>
      </c>
      <c r="D886" s="248" t="s">
        <v>512</v>
      </c>
      <c r="E886" s="248">
        <v>5727.0</v>
      </c>
      <c r="F886" s="256">
        <v>45047.0</v>
      </c>
      <c r="G886" s="248">
        <v>2023.0</v>
      </c>
      <c r="H886" s="248" t="s">
        <v>513</v>
      </c>
      <c r="I886" s="248" t="s">
        <v>514</v>
      </c>
      <c r="J886" s="248" t="s">
        <v>297</v>
      </c>
      <c r="K886" s="249" t="s">
        <v>1891</v>
      </c>
      <c r="L886" s="257" t="s">
        <v>516</v>
      </c>
      <c r="M886" s="249"/>
      <c r="N886" s="249"/>
      <c r="O886" s="249"/>
      <c r="P886" s="249"/>
      <c r="Q886" s="249"/>
      <c r="R886" s="249"/>
      <c r="S886" s="249"/>
      <c r="T886" s="249"/>
      <c r="U886" s="249"/>
      <c r="V886" s="249"/>
    </row>
    <row r="887">
      <c r="A887" s="255" t="s">
        <v>1892</v>
      </c>
      <c r="B887" s="248" t="s">
        <v>525</v>
      </c>
      <c r="C887" s="248" t="s">
        <v>526</v>
      </c>
      <c r="D887" s="248" t="s">
        <v>512</v>
      </c>
      <c r="E887" s="248">
        <v>2608.0</v>
      </c>
      <c r="F887" s="256">
        <v>45044.0</v>
      </c>
      <c r="G887" s="248">
        <v>2023.0</v>
      </c>
      <c r="H887" s="248" t="s">
        <v>513</v>
      </c>
      <c r="I887" s="248" t="s">
        <v>521</v>
      </c>
      <c r="J887" s="248" t="s">
        <v>297</v>
      </c>
      <c r="K887" s="249" t="s">
        <v>1893</v>
      </c>
      <c r="L887" s="257" t="s">
        <v>516</v>
      </c>
      <c r="M887" s="249"/>
      <c r="N887" s="249"/>
      <c r="O887" s="249"/>
      <c r="P887" s="249"/>
      <c r="Q887" s="249"/>
      <c r="R887" s="249"/>
      <c r="S887" s="249"/>
      <c r="T887" s="249"/>
      <c r="U887" s="249"/>
      <c r="V887" s="249"/>
    </row>
    <row r="888">
      <c r="A888" s="255" t="s">
        <v>1894</v>
      </c>
      <c r="B888" s="248" t="s">
        <v>542</v>
      </c>
      <c r="C888" s="248" t="s">
        <v>543</v>
      </c>
      <c r="D888" s="248" t="s">
        <v>520</v>
      </c>
      <c r="E888" s="248">
        <v>9650.0</v>
      </c>
      <c r="F888" s="256">
        <v>45044.0</v>
      </c>
      <c r="G888" s="248">
        <v>2023.0</v>
      </c>
      <c r="H888" s="248" t="s">
        <v>513</v>
      </c>
      <c r="I888" s="248" t="s">
        <v>514</v>
      </c>
      <c r="J888" s="248" t="s">
        <v>309</v>
      </c>
      <c r="K888" s="249" t="s">
        <v>1895</v>
      </c>
      <c r="L888" s="257" t="s">
        <v>516</v>
      </c>
      <c r="M888" s="249"/>
      <c r="N888" s="249"/>
      <c r="O888" s="249"/>
      <c r="P888" s="249"/>
      <c r="Q888" s="249"/>
      <c r="R888" s="249"/>
      <c r="S888" s="249"/>
      <c r="T888" s="249"/>
      <c r="U888" s="249"/>
      <c r="V888" s="249"/>
    </row>
    <row r="889">
      <c r="A889" s="255" t="s">
        <v>1896</v>
      </c>
      <c r="B889" s="248" t="s">
        <v>845</v>
      </c>
      <c r="C889" s="248" t="s">
        <v>733</v>
      </c>
      <c r="D889" s="248" t="s">
        <v>512</v>
      </c>
      <c r="E889" s="248">
        <v>5272.0</v>
      </c>
      <c r="F889" s="256">
        <v>45044.0</v>
      </c>
      <c r="G889" s="248">
        <v>2023.0</v>
      </c>
      <c r="H889" s="248" t="s">
        <v>513</v>
      </c>
      <c r="I889" s="248" t="s">
        <v>521</v>
      </c>
      <c r="J889" s="248" t="s">
        <v>297</v>
      </c>
      <c r="K889" s="249" t="s">
        <v>1897</v>
      </c>
      <c r="L889" s="257" t="s">
        <v>516</v>
      </c>
      <c r="M889" s="249"/>
      <c r="N889" s="249"/>
      <c r="O889" s="249"/>
      <c r="P889" s="249"/>
      <c r="Q889" s="249"/>
      <c r="R889" s="249"/>
      <c r="S889" s="249"/>
      <c r="T889" s="249"/>
      <c r="U889" s="249"/>
      <c r="V889" s="249"/>
    </row>
    <row r="890">
      <c r="A890" s="255" t="s">
        <v>1898</v>
      </c>
      <c r="B890" s="248" t="s">
        <v>573</v>
      </c>
      <c r="C890" s="248" t="s">
        <v>574</v>
      </c>
      <c r="D890" s="248" t="s">
        <v>512</v>
      </c>
      <c r="E890" s="248">
        <v>8453.0</v>
      </c>
      <c r="F890" s="256">
        <v>45043.0</v>
      </c>
      <c r="G890" s="248">
        <v>2023.0</v>
      </c>
      <c r="H890" s="248" t="s">
        <v>513</v>
      </c>
      <c r="I890" s="248" t="s">
        <v>514</v>
      </c>
      <c r="J890" s="248" t="s">
        <v>297</v>
      </c>
      <c r="K890" s="249" t="s">
        <v>1899</v>
      </c>
      <c r="L890" s="257" t="s">
        <v>516</v>
      </c>
      <c r="M890" s="249"/>
      <c r="N890" s="249"/>
      <c r="O890" s="249"/>
      <c r="P890" s="249"/>
      <c r="Q890" s="249"/>
      <c r="R890" s="249"/>
      <c r="S890" s="249"/>
      <c r="T890" s="249"/>
      <c r="U890" s="249"/>
      <c r="V890" s="249"/>
    </row>
    <row r="891">
      <c r="A891" s="255" t="s">
        <v>1900</v>
      </c>
      <c r="B891" s="248" t="s">
        <v>573</v>
      </c>
      <c r="C891" s="248" t="s">
        <v>574</v>
      </c>
      <c r="D891" s="248" t="s">
        <v>512</v>
      </c>
      <c r="E891" s="248">
        <v>6288.0</v>
      </c>
      <c r="F891" s="256">
        <v>45043.0</v>
      </c>
      <c r="G891" s="248">
        <v>2023.0</v>
      </c>
      <c r="H891" s="248" t="s">
        <v>513</v>
      </c>
      <c r="I891" s="248" t="s">
        <v>521</v>
      </c>
      <c r="J891" s="248" t="s">
        <v>297</v>
      </c>
      <c r="K891" s="249" t="s">
        <v>1901</v>
      </c>
      <c r="L891" s="257" t="s">
        <v>516</v>
      </c>
      <c r="M891" s="249"/>
      <c r="N891" s="249"/>
      <c r="O891" s="249"/>
      <c r="P891" s="249"/>
      <c r="Q891" s="249"/>
      <c r="R891" s="249"/>
      <c r="S891" s="249"/>
      <c r="T891" s="249"/>
      <c r="U891" s="249"/>
      <c r="V891" s="249"/>
    </row>
    <row r="892">
      <c r="A892" s="255" t="s">
        <v>1815</v>
      </c>
      <c r="B892" s="248" t="s">
        <v>530</v>
      </c>
      <c r="C892" s="248" t="s">
        <v>531</v>
      </c>
      <c r="D892" s="248" t="s">
        <v>520</v>
      </c>
      <c r="E892" s="248">
        <v>180694.0</v>
      </c>
      <c r="F892" s="256">
        <v>45036.0</v>
      </c>
      <c r="G892" s="248">
        <v>2023.0</v>
      </c>
      <c r="H892" s="248" t="s">
        <v>513</v>
      </c>
      <c r="I892" s="248" t="s">
        <v>514</v>
      </c>
      <c r="J892" s="248" t="s">
        <v>309</v>
      </c>
      <c r="K892" s="249" t="s">
        <v>1902</v>
      </c>
      <c r="L892" s="257" t="s">
        <v>516</v>
      </c>
      <c r="M892" s="249"/>
      <c r="N892" s="249"/>
      <c r="O892" s="249"/>
      <c r="P892" s="249"/>
      <c r="Q892" s="249"/>
      <c r="R892" s="249"/>
      <c r="S892" s="249"/>
      <c r="T892" s="249"/>
      <c r="U892" s="249"/>
      <c r="V892" s="249"/>
    </row>
    <row r="893">
      <c r="A893" s="255" t="s">
        <v>1903</v>
      </c>
      <c r="B893" s="248" t="s">
        <v>518</v>
      </c>
      <c r="C893" s="248" t="s">
        <v>519</v>
      </c>
      <c r="D893" s="248" t="s">
        <v>512</v>
      </c>
      <c r="E893" s="248">
        <v>6591.0</v>
      </c>
      <c r="F893" s="256">
        <v>45033.0</v>
      </c>
      <c r="G893" s="248">
        <v>2023.0</v>
      </c>
      <c r="H893" s="248" t="s">
        <v>546</v>
      </c>
      <c r="I893" s="248" t="s">
        <v>547</v>
      </c>
      <c r="J893" s="248" t="s">
        <v>297</v>
      </c>
      <c r="K893" s="249" t="s">
        <v>1904</v>
      </c>
      <c r="L893" s="257" t="s">
        <v>516</v>
      </c>
      <c r="M893" s="249"/>
      <c r="N893" s="249"/>
      <c r="O893" s="249"/>
      <c r="P893" s="249"/>
      <c r="Q893" s="249"/>
      <c r="R893" s="249"/>
      <c r="S893" s="249"/>
      <c r="T893" s="249"/>
      <c r="U893" s="249"/>
      <c r="V893" s="249"/>
    </row>
    <row r="894">
      <c r="A894" s="255" t="s">
        <v>1905</v>
      </c>
      <c r="B894" s="248" t="s">
        <v>815</v>
      </c>
      <c r="C894" s="248" t="s">
        <v>728</v>
      </c>
      <c r="D894" s="248" t="s">
        <v>512</v>
      </c>
      <c r="E894" s="248">
        <v>4047.0</v>
      </c>
      <c r="F894" s="256">
        <v>45030.0</v>
      </c>
      <c r="G894" s="248">
        <v>2023.0</v>
      </c>
      <c r="H894" s="248" t="s">
        <v>513</v>
      </c>
      <c r="I894" s="248" t="s">
        <v>521</v>
      </c>
      <c r="J894" s="248" t="s">
        <v>297</v>
      </c>
      <c r="K894" s="249" t="s">
        <v>1906</v>
      </c>
      <c r="L894" s="257" t="s">
        <v>516</v>
      </c>
      <c r="M894" s="249"/>
      <c r="N894" s="249"/>
      <c r="O894" s="249"/>
      <c r="P894" s="249"/>
      <c r="Q894" s="249"/>
      <c r="R894" s="249"/>
      <c r="S894" s="249"/>
      <c r="T894" s="249"/>
      <c r="U894" s="249"/>
      <c r="V894" s="249"/>
    </row>
    <row r="895">
      <c r="A895" s="255" t="s">
        <v>1907</v>
      </c>
      <c r="B895" s="248" t="s">
        <v>688</v>
      </c>
      <c r="C895" s="248" t="s">
        <v>683</v>
      </c>
      <c r="D895" s="248" t="s">
        <v>575</v>
      </c>
      <c r="E895" s="248">
        <v>37965.0</v>
      </c>
      <c r="F895" s="256">
        <v>45030.0</v>
      </c>
      <c r="G895" s="248">
        <v>2023.0</v>
      </c>
      <c r="H895" s="248" t="s">
        <v>513</v>
      </c>
      <c r="I895" s="248" t="s">
        <v>521</v>
      </c>
      <c r="J895" s="248" t="s">
        <v>297</v>
      </c>
      <c r="K895" s="249" t="s">
        <v>1908</v>
      </c>
      <c r="L895" s="257" t="s">
        <v>516</v>
      </c>
      <c r="M895" s="249"/>
      <c r="N895" s="249"/>
      <c r="O895" s="249"/>
      <c r="P895" s="249"/>
      <c r="Q895" s="249"/>
      <c r="R895" s="249"/>
      <c r="S895" s="249"/>
      <c r="T895" s="249"/>
      <c r="U895" s="249"/>
      <c r="V895" s="249"/>
    </row>
    <row r="896">
      <c r="A896" s="255" t="s">
        <v>1909</v>
      </c>
      <c r="B896" s="248" t="s">
        <v>886</v>
      </c>
      <c r="C896" s="248" t="s">
        <v>636</v>
      </c>
      <c r="D896" s="248" t="s">
        <v>512</v>
      </c>
      <c r="E896" s="248">
        <v>15168.0</v>
      </c>
      <c r="F896" s="256">
        <v>45030.0</v>
      </c>
      <c r="G896" s="248">
        <v>2023.0</v>
      </c>
      <c r="H896" s="248" t="s">
        <v>513</v>
      </c>
      <c r="I896" s="248" t="s">
        <v>521</v>
      </c>
      <c r="J896" s="248" t="s">
        <v>297</v>
      </c>
      <c r="K896" s="249" t="s">
        <v>1910</v>
      </c>
      <c r="L896" s="257" t="s">
        <v>516</v>
      </c>
      <c r="M896" s="249"/>
      <c r="N896" s="249"/>
      <c r="O896" s="249"/>
      <c r="P896" s="249"/>
      <c r="Q896" s="249"/>
      <c r="R896" s="249"/>
      <c r="S896" s="249"/>
      <c r="T896" s="249"/>
      <c r="U896" s="249"/>
      <c r="V896" s="249"/>
    </row>
    <row r="897">
      <c r="A897" s="255" t="s">
        <v>1815</v>
      </c>
      <c r="B897" s="248" t="s">
        <v>530</v>
      </c>
      <c r="C897" s="248" t="s">
        <v>531</v>
      </c>
      <c r="D897" s="248" t="s">
        <v>520</v>
      </c>
      <c r="E897" s="248">
        <v>49968.0</v>
      </c>
      <c r="F897" s="256">
        <v>45029.0</v>
      </c>
      <c r="G897" s="248">
        <v>2023.0</v>
      </c>
      <c r="H897" s="248" t="s">
        <v>513</v>
      </c>
      <c r="I897" s="248" t="s">
        <v>514</v>
      </c>
      <c r="J897" s="248" t="s">
        <v>309</v>
      </c>
      <c r="K897" s="249" t="s">
        <v>1911</v>
      </c>
      <c r="L897" s="257" t="s">
        <v>516</v>
      </c>
      <c r="M897" s="249"/>
      <c r="N897" s="249"/>
      <c r="O897" s="249"/>
      <c r="P897" s="249"/>
      <c r="Q897" s="249"/>
      <c r="R897" s="249"/>
      <c r="S897" s="249"/>
      <c r="T897" s="249"/>
      <c r="U897" s="249"/>
      <c r="V897" s="249"/>
    </row>
    <row r="898">
      <c r="A898" s="255" t="s">
        <v>1161</v>
      </c>
      <c r="B898" s="248" t="s">
        <v>595</v>
      </c>
      <c r="C898" s="248" t="s">
        <v>596</v>
      </c>
      <c r="D898" s="248" t="s">
        <v>512</v>
      </c>
      <c r="E898" s="248">
        <v>2719.0</v>
      </c>
      <c r="F898" s="256">
        <v>45028.0</v>
      </c>
      <c r="G898" s="248">
        <v>2023.0</v>
      </c>
      <c r="H898" s="248" t="s">
        <v>551</v>
      </c>
      <c r="I898" s="248" t="s">
        <v>547</v>
      </c>
      <c r="J898" s="248" t="s">
        <v>297</v>
      </c>
      <c r="K898" s="249" t="s">
        <v>1912</v>
      </c>
      <c r="L898" s="257" t="s">
        <v>516</v>
      </c>
      <c r="M898" s="249"/>
      <c r="N898" s="249"/>
      <c r="O898" s="249"/>
      <c r="P898" s="249"/>
      <c r="Q898" s="249"/>
      <c r="R898" s="249"/>
      <c r="S898" s="249"/>
      <c r="T898" s="249"/>
      <c r="U898" s="249"/>
      <c r="V898" s="249"/>
    </row>
    <row r="899">
      <c r="A899" s="255" t="s">
        <v>1913</v>
      </c>
      <c r="B899" s="248" t="s">
        <v>607</v>
      </c>
      <c r="C899" s="248" t="s">
        <v>608</v>
      </c>
      <c r="D899" s="248" t="s">
        <v>512</v>
      </c>
      <c r="E899" s="248">
        <v>1304.0</v>
      </c>
      <c r="F899" s="256">
        <v>45027.0</v>
      </c>
      <c r="G899" s="248">
        <v>2023.0</v>
      </c>
      <c r="H899" s="248" t="s">
        <v>546</v>
      </c>
      <c r="I899" s="248" t="s">
        <v>521</v>
      </c>
      <c r="J899" s="248" t="s">
        <v>297</v>
      </c>
      <c r="K899" s="249" t="s">
        <v>1914</v>
      </c>
      <c r="L899" s="257" t="s">
        <v>516</v>
      </c>
      <c r="M899" s="249"/>
      <c r="N899" s="249"/>
      <c r="O899" s="249"/>
      <c r="P899" s="249"/>
      <c r="Q899" s="249"/>
      <c r="R899" s="249"/>
      <c r="S899" s="249"/>
      <c r="T899" s="249"/>
      <c r="U899" s="249"/>
      <c r="V899" s="249"/>
    </row>
    <row r="900">
      <c r="A900" s="255" t="s">
        <v>1915</v>
      </c>
      <c r="B900" s="248" t="s">
        <v>679</v>
      </c>
      <c r="C900" s="248" t="s">
        <v>663</v>
      </c>
      <c r="D900" s="248" t="s">
        <v>512</v>
      </c>
      <c r="E900" s="248">
        <v>35766.0</v>
      </c>
      <c r="F900" s="256">
        <v>45026.0</v>
      </c>
      <c r="G900" s="248">
        <v>2023.0</v>
      </c>
      <c r="H900" s="248" t="s">
        <v>513</v>
      </c>
      <c r="I900" s="248" t="s">
        <v>514</v>
      </c>
      <c r="J900" s="248" t="s">
        <v>297</v>
      </c>
      <c r="K900" s="249" t="s">
        <v>1916</v>
      </c>
      <c r="L900" s="257" t="s">
        <v>516</v>
      </c>
      <c r="M900" s="249"/>
      <c r="N900" s="249"/>
      <c r="O900" s="249"/>
      <c r="P900" s="249"/>
      <c r="Q900" s="249"/>
      <c r="R900" s="249"/>
      <c r="S900" s="249"/>
      <c r="T900" s="249"/>
      <c r="U900" s="249"/>
      <c r="V900" s="249"/>
    </row>
    <row r="901">
      <c r="A901" s="255" t="s">
        <v>1917</v>
      </c>
      <c r="B901" s="248" t="s">
        <v>1399</v>
      </c>
      <c r="C901" s="248" t="s">
        <v>764</v>
      </c>
      <c r="D901" s="248" t="s">
        <v>512</v>
      </c>
      <c r="E901" s="248">
        <v>51787.0</v>
      </c>
      <c r="F901" s="256">
        <v>45026.0</v>
      </c>
      <c r="G901" s="248">
        <v>2023.0</v>
      </c>
      <c r="H901" s="248" t="s">
        <v>513</v>
      </c>
      <c r="I901" s="248" t="s">
        <v>514</v>
      </c>
      <c r="J901" s="248" t="s">
        <v>297</v>
      </c>
      <c r="K901" s="249" t="s">
        <v>1918</v>
      </c>
      <c r="L901" s="257" t="s">
        <v>516</v>
      </c>
      <c r="M901" s="249"/>
      <c r="N901" s="249"/>
      <c r="O901" s="249"/>
      <c r="P901" s="249"/>
      <c r="Q901" s="249"/>
      <c r="R901" s="249"/>
      <c r="S901" s="249"/>
      <c r="T901" s="249"/>
      <c r="U901" s="249"/>
      <c r="V901" s="249"/>
    </row>
    <row r="902">
      <c r="A902" s="255" t="s">
        <v>1919</v>
      </c>
      <c r="B902" s="248" t="s">
        <v>956</v>
      </c>
      <c r="C902" s="248" t="s">
        <v>680</v>
      </c>
      <c r="D902" s="248" t="s">
        <v>575</v>
      </c>
      <c r="E902" s="248">
        <v>20815.0</v>
      </c>
      <c r="F902" s="256">
        <v>45026.0</v>
      </c>
      <c r="G902" s="248">
        <v>2023.0</v>
      </c>
      <c r="H902" s="248" t="s">
        <v>513</v>
      </c>
      <c r="I902" s="248" t="s">
        <v>514</v>
      </c>
      <c r="J902" s="248" t="s">
        <v>309</v>
      </c>
      <c r="K902" s="249" t="s">
        <v>1920</v>
      </c>
      <c r="L902" s="257" t="s">
        <v>516</v>
      </c>
      <c r="M902" s="249"/>
      <c r="N902" s="249"/>
      <c r="O902" s="249"/>
      <c r="P902" s="249"/>
      <c r="Q902" s="249"/>
      <c r="R902" s="249"/>
      <c r="S902" s="249"/>
      <c r="T902" s="249"/>
      <c r="U902" s="249"/>
      <c r="V902" s="249"/>
    </row>
    <row r="903">
      <c r="A903" s="255" t="s">
        <v>1815</v>
      </c>
      <c r="B903" s="248" t="s">
        <v>530</v>
      </c>
      <c r="C903" s="248" t="s">
        <v>531</v>
      </c>
      <c r="D903" s="248" t="s">
        <v>520</v>
      </c>
      <c r="E903" s="248">
        <v>199753.0</v>
      </c>
      <c r="F903" s="256">
        <v>45023.0</v>
      </c>
      <c r="G903" s="248">
        <v>2023.0</v>
      </c>
      <c r="H903" s="248" t="s">
        <v>513</v>
      </c>
      <c r="I903" s="248" t="s">
        <v>514</v>
      </c>
      <c r="J903" s="248" t="s">
        <v>309</v>
      </c>
      <c r="K903" s="249" t="s">
        <v>1921</v>
      </c>
      <c r="L903" s="257" t="s">
        <v>516</v>
      </c>
      <c r="M903" s="249"/>
      <c r="N903" s="249"/>
      <c r="O903" s="249"/>
      <c r="P903" s="249"/>
      <c r="Q903" s="249"/>
      <c r="R903" s="249"/>
      <c r="S903" s="249"/>
      <c r="T903" s="249"/>
      <c r="U903" s="249"/>
      <c r="V903" s="249"/>
    </row>
    <row r="904">
      <c r="A904" s="255" t="s">
        <v>1815</v>
      </c>
      <c r="B904" s="248" t="s">
        <v>530</v>
      </c>
      <c r="C904" s="248" t="s">
        <v>531</v>
      </c>
      <c r="D904" s="248" t="s">
        <v>520</v>
      </c>
      <c r="E904" s="248">
        <v>21830.0</v>
      </c>
      <c r="F904" s="256">
        <v>45023.0</v>
      </c>
      <c r="G904" s="248">
        <v>2023.0</v>
      </c>
      <c r="H904" s="248" t="s">
        <v>513</v>
      </c>
      <c r="I904" s="248" t="s">
        <v>514</v>
      </c>
      <c r="J904" s="248" t="s">
        <v>309</v>
      </c>
      <c r="K904" s="249" t="s">
        <v>1922</v>
      </c>
      <c r="L904" s="257" t="s">
        <v>516</v>
      </c>
      <c r="M904" s="249"/>
      <c r="N904" s="249"/>
      <c r="O904" s="249"/>
      <c r="P904" s="249"/>
      <c r="Q904" s="249"/>
      <c r="R904" s="249"/>
      <c r="S904" s="249"/>
      <c r="T904" s="249"/>
      <c r="U904" s="249"/>
      <c r="V904" s="249"/>
    </row>
    <row r="905">
      <c r="A905" s="255" t="s">
        <v>1815</v>
      </c>
      <c r="B905" s="248" t="s">
        <v>530</v>
      </c>
      <c r="C905" s="248" t="s">
        <v>531</v>
      </c>
      <c r="D905" s="248" t="s">
        <v>520</v>
      </c>
      <c r="E905" s="248">
        <v>7411.0</v>
      </c>
      <c r="F905" s="256">
        <v>45023.0</v>
      </c>
      <c r="G905" s="248">
        <v>2023.0</v>
      </c>
      <c r="H905" s="248" t="s">
        <v>513</v>
      </c>
      <c r="I905" s="248" t="s">
        <v>514</v>
      </c>
      <c r="J905" s="248" t="s">
        <v>309</v>
      </c>
      <c r="K905" s="249" t="s">
        <v>1923</v>
      </c>
      <c r="L905" s="257" t="s">
        <v>516</v>
      </c>
      <c r="M905" s="249"/>
      <c r="N905" s="249"/>
      <c r="O905" s="249"/>
      <c r="P905" s="249"/>
      <c r="Q905" s="249"/>
      <c r="R905" s="249"/>
      <c r="S905" s="249"/>
      <c r="T905" s="249"/>
      <c r="U905" s="249"/>
      <c r="V905" s="249"/>
    </row>
    <row r="906">
      <c r="A906" s="255" t="s">
        <v>1815</v>
      </c>
      <c r="B906" s="248" t="s">
        <v>530</v>
      </c>
      <c r="C906" s="248" t="s">
        <v>531</v>
      </c>
      <c r="D906" s="248" t="s">
        <v>520</v>
      </c>
      <c r="E906" s="248">
        <v>31440.0</v>
      </c>
      <c r="F906" s="256">
        <v>45023.0</v>
      </c>
      <c r="G906" s="248">
        <v>2023.0</v>
      </c>
      <c r="H906" s="248" t="s">
        <v>513</v>
      </c>
      <c r="I906" s="248" t="s">
        <v>514</v>
      </c>
      <c r="J906" s="248" t="s">
        <v>309</v>
      </c>
      <c r="K906" s="249" t="s">
        <v>1924</v>
      </c>
      <c r="L906" s="257" t="s">
        <v>516</v>
      </c>
      <c r="M906" s="249"/>
      <c r="N906" s="249"/>
      <c r="O906" s="249"/>
      <c r="P906" s="249"/>
      <c r="Q906" s="249"/>
      <c r="R906" s="249"/>
      <c r="S906" s="249"/>
      <c r="T906" s="249"/>
      <c r="U906" s="249"/>
      <c r="V906" s="249"/>
    </row>
    <row r="907">
      <c r="A907" s="255" t="s">
        <v>1815</v>
      </c>
      <c r="B907" s="248" t="s">
        <v>530</v>
      </c>
      <c r="C907" s="248" t="s">
        <v>531</v>
      </c>
      <c r="D907" s="248" t="s">
        <v>520</v>
      </c>
      <c r="E907" s="248">
        <v>4044.0</v>
      </c>
      <c r="F907" s="256">
        <v>45023.0</v>
      </c>
      <c r="G907" s="248">
        <v>2023.0</v>
      </c>
      <c r="H907" s="248" t="s">
        <v>513</v>
      </c>
      <c r="I907" s="248" t="s">
        <v>514</v>
      </c>
      <c r="J907" s="248" t="s">
        <v>309</v>
      </c>
      <c r="K907" s="249" t="s">
        <v>1925</v>
      </c>
      <c r="L907" s="257" t="s">
        <v>516</v>
      </c>
      <c r="M907" s="249"/>
      <c r="N907" s="249"/>
      <c r="O907" s="249"/>
      <c r="P907" s="249"/>
      <c r="Q907" s="249"/>
      <c r="R907" s="249"/>
      <c r="S907" s="249"/>
      <c r="T907" s="249"/>
      <c r="U907" s="249"/>
      <c r="V907" s="249"/>
    </row>
    <row r="908">
      <c r="A908" s="255" t="s">
        <v>1815</v>
      </c>
      <c r="B908" s="248" t="s">
        <v>530</v>
      </c>
      <c r="C908" s="248" t="s">
        <v>531</v>
      </c>
      <c r="D908" s="248" t="s">
        <v>520</v>
      </c>
      <c r="E908" s="248">
        <v>473467.0</v>
      </c>
      <c r="F908" s="256">
        <v>45023.0</v>
      </c>
      <c r="G908" s="248">
        <v>2023.0</v>
      </c>
      <c r="H908" s="248" t="s">
        <v>513</v>
      </c>
      <c r="I908" s="248" t="s">
        <v>514</v>
      </c>
      <c r="J908" s="248" t="s">
        <v>309</v>
      </c>
      <c r="K908" s="249" t="s">
        <v>1926</v>
      </c>
      <c r="L908" s="257" t="s">
        <v>516</v>
      </c>
      <c r="M908" s="249"/>
      <c r="N908" s="249"/>
      <c r="O908" s="249"/>
      <c r="P908" s="249"/>
      <c r="Q908" s="249"/>
      <c r="R908" s="249"/>
      <c r="S908" s="249"/>
      <c r="T908" s="249"/>
      <c r="U908" s="249"/>
      <c r="V908" s="249"/>
    </row>
    <row r="909">
      <c r="A909" s="255" t="s">
        <v>1815</v>
      </c>
      <c r="B909" s="248" t="s">
        <v>530</v>
      </c>
      <c r="C909" s="248" t="s">
        <v>531</v>
      </c>
      <c r="D909" s="248" t="s">
        <v>520</v>
      </c>
      <c r="E909" s="248">
        <v>7672.0</v>
      </c>
      <c r="F909" s="256">
        <v>45023.0</v>
      </c>
      <c r="G909" s="248">
        <v>2023.0</v>
      </c>
      <c r="H909" s="248" t="s">
        <v>513</v>
      </c>
      <c r="I909" s="248" t="s">
        <v>514</v>
      </c>
      <c r="J909" s="248" t="s">
        <v>309</v>
      </c>
      <c r="K909" s="249" t="s">
        <v>1927</v>
      </c>
      <c r="L909" s="257" t="s">
        <v>516</v>
      </c>
      <c r="M909" s="249"/>
      <c r="N909" s="249"/>
      <c r="O909" s="249"/>
      <c r="P909" s="249"/>
      <c r="Q909" s="249"/>
      <c r="R909" s="249"/>
      <c r="S909" s="249"/>
      <c r="T909" s="249"/>
      <c r="U909" s="249"/>
      <c r="V909" s="249"/>
    </row>
    <row r="910">
      <c r="A910" s="255" t="s">
        <v>1048</v>
      </c>
      <c r="B910" s="248" t="s">
        <v>810</v>
      </c>
      <c r="C910" s="248" t="s">
        <v>655</v>
      </c>
      <c r="D910" s="248" t="s">
        <v>575</v>
      </c>
      <c r="E910" s="248">
        <v>10011.0</v>
      </c>
      <c r="F910" s="256">
        <v>45023.0</v>
      </c>
      <c r="G910" s="248">
        <v>2023.0</v>
      </c>
      <c r="H910" s="248" t="s">
        <v>546</v>
      </c>
      <c r="I910" s="248" t="s">
        <v>547</v>
      </c>
      <c r="J910" s="248" t="s">
        <v>309</v>
      </c>
      <c r="K910" s="249" t="s">
        <v>1928</v>
      </c>
      <c r="L910" s="257" t="s">
        <v>516</v>
      </c>
      <c r="M910" s="249"/>
      <c r="N910" s="249"/>
      <c r="O910" s="249"/>
      <c r="P910" s="249"/>
      <c r="Q910" s="249"/>
      <c r="R910" s="249"/>
      <c r="S910" s="249"/>
      <c r="T910" s="249"/>
      <c r="U910" s="249"/>
      <c r="V910" s="249"/>
    </row>
    <row r="911">
      <c r="A911" s="255" t="s">
        <v>1929</v>
      </c>
      <c r="B911" s="248" t="s">
        <v>1189</v>
      </c>
      <c r="C911" s="248" t="s">
        <v>666</v>
      </c>
      <c r="D911" s="248" t="s">
        <v>512</v>
      </c>
      <c r="E911" s="248">
        <v>15246.0</v>
      </c>
      <c r="F911" s="256">
        <v>45022.0</v>
      </c>
      <c r="G911" s="248">
        <v>2023.0</v>
      </c>
      <c r="H911" s="248" t="s">
        <v>546</v>
      </c>
      <c r="I911" s="248" t="s">
        <v>547</v>
      </c>
      <c r="J911" s="248" t="s">
        <v>297</v>
      </c>
      <c r="K911" s="249" t="s">
        <v>1930</v>
      </c>
      <c r="L911" s="257" t="s">
        <v>516</v>
      </c>
      <c r="M911" s="249"/>
      <c r="N911" s="249"/>
      <c r="O911" s="249"/>
      <c r="P911" s="249"/>
      <c r="Q911" s="249"/>
      <c r="R911" s="249"/>
      <c r="S911" s="249"/>
      <c r="T911" s="249"/>
      <c r="U911" s="249"/>
      <c r="V911" s="249"/>
    </row>
    <row r="912">
      <c r="A912" s="255" t="s">
        <v>1931</v>
      </c>
      <c r="B912" s="248" t="s">
        <v>530</v>
      </c>
      <c r="C912" s="248" t="s">
        <v>531</v>
      </c>
      <c r="D912" s="248" t="s">
        <v>575</v>
      </c>
      <c r="E912" s="248">
        <v>1553.0</v>
      </c>
      <c r="F912" s="256">
        <v>45021.0</v>
      </c>
      <c r="G912" s="248">
        <v>2023.0</v>
      </c>
      <c r="H912" s="248" t="s">
        <v>513</v>
      </c>
      <c r="I912" s="248" t="s">
        <v>514</v>
      </c>
      <c r="J912" s="248" t="s">
        <v>309</v>
      </c>
      <c r="K912" s="249" t="s">
        <v>1932</v>
      </c>
      <c r="L912" s="257" t="s">
        <v>516</v>
      </c>
      <c r="M912" s="249"/>
      <c r="N912" s="249"/>
      <c r="O912" s="249"/>
      <c r="P912" s="249"/>
      <c r="Q912" s="249"/>
      <c r="R912" s="249"/>
      <c r="S912" s="249"/>
      <c r="T912" s="249"/>
      <c r="U912" s="249"/>
      <c r="V912" s="249"/>
    </row>
    <row r="913">
      <c r="A913" s="255" t="s">
        <v>1933</v>
      </c>
      <c r="B913" s="248" t="s">
        <v>586</v>
      </c>
      <c r="C913" s="248" t="s">
        <v>587</v>
      </c>
      <c r="D913" s="248" t="s">
        <v>520</v>
      </c>
      <c r="E913" s="248">
        <v>42020.0</v>
      </c>
      <c r="F913" s="256">
        <v>45020.0</v>
      </c>
      <c r="G913" s="248">
        <v>2023.0</v>
      </c>
      <c r="H913" s="248" t="s">
        <v>513</v>
      </c>
      <c r="I913" s="248" t="s">
        <v>514</v>
      </c>
      <c r="J913" s="248" t="s">
        <v>309</v>
      </c>
      <c r="K913" s="249" t="s">
        <v>1934</v>
      </c>
      <c r="L913" s="257" t="s">
        <v>516</v>
      </c>
      <c r="M913" s="249"/>
      <c r="N913" s="249"/>
      <c r="O913" s="249"/>
      <c r="P913" s="249"/>
      <c r="Q913" s="249"/>
      <c r="R913" s="249"/>
      <c r="S913" s="249"/>
      <c r="T913" s="249"/>
      <c r="U913" s="249"/>
      <c r="V913" s="249"/>
    </row>
    <row r="914">
      <c r="A914" s="255" t="s">
        <v>1935</v>
      </c>
      <c r="B914" s="248" t="s">
        <v>530</v>
      </c>
      <c r="C914" s="248" t="s">
        <v>531</v>
      </c>
      <c r="D914" s="248" t="s">
        <v>520</v>
      </c>
      <c r="E914" s="248">
        <v>61788.0</v>
      </c>
      <c r="F914" s="256">
        <v>45020.0</v>
      </c>
      <c r="G914" s="248">
        <v>2023.0</v>
      </c>
      <c r="H914" s="248" t="s">
        <v>513</v>
      </c>
      <c r="I914" s="248" t="s">
        <v>514</v>
      </c>
      <c r="J914" s="248" t="s">
        <v>309</v>
      </c>
      <c r="K914" s="249" t="s">
        <v>1936</v>
      </c>
      <c r="L914" s="257" t="s">
        <v>516</v>
      </c>
      <c r="M914" s="249"/>
      <c r="N914" s="249"/>
      <c r="O914" s="249"/>
      <c r="P914" s="249"/>
      <c r="Q914" s="249"/>
      <c r="R914" s="249"/>
      <c r="S914" s="249"/>
      <c r="T914" s="249"/>
      <c r="U914" s="249"/>
      <c r="V914" s="249"/>
    </row>
    <row r="915">
      <c r="A915" s="255" t="s">
        <v>1937</v>
      </c>
      <c r="B915" s="248" t="s">
        <v>815</v>
      </c>
      <c r="C915" s="248" t="s">
        <v>728</v>
      </c>
      <c r="D915" s="248" t="s">
        <v>512</v>
      </c>
      <c r="E915" s="248">
        <v>4498.0</v>
      </c>
      <c r="F915" s="256">
        <v>45020.0</v>
      </c>
      <c r="G915" s="248">
        <v>2023.0</v>
      </c>
      <c r="H915" s="248" t="s">
        <v>546</v>
      </c>
      <c r="I915" s="248" t="s">
        <v>521</v>
      </c>
      <c r="J915" s="248" t="s">
        <v>297</v>
      </c>
      <c r="K915" s="249" t="s">
        <v>1938</v>
      </c>
      <c r="L915" s="257" t="s">
        <v>516</v>
      </c>
      <c r="M915" s="249"/>
      <c r="N915" s="249"/>
      <c r="O915" s="249"/>
      <c r="P915" s="249"/>
      <c r="Q915" s="249"/>
      <c r="R915" s="249"/>
      <c r="S915" s="249"/>
      <c r="T915" s="249"/>
      <c r="U915" s="249"/>
      <c r="V915" s="249"/>
    </row>
    <row r="916">
      <c r="A916" s="255" t="s">
        <v>1939</v>
      </c>
      <c r="B916" s="248" t="s">
        <v>542</v>
      </c>
      <c r="C916" s="248" t="s">
        <v>543</v>
      </c>
      <c r="D916" s="248" t="s">
        <v>512</v>
      </c>
      <c r="E916" s="248">
        <v>20376.0</v>
      </c>
      <c r="F916" s="256">
        <v>45016.0</v>
      </c>
      <c r="G916" s="248">
        <v>2023.0</v>
      </c>
      <c r="H916" s="248" t="s">
        <v>513</v>
      </c>
      <c r="I916" s="248" t="s">
        <v>514</v>
      </c>
      <c r="J916" s="248" t="s">
        <v>297</v>
      </c>
      <c r="K916" s="249" t="s">
        <v>1940</v>
      </c>
      <c r="L916" s="257" t="s">
        <v>516</v>
      </c>
      <c r="M916" s="249"/>
      <c r="N916" s="249"/>
      <c r="O916" s="249"/>
      <c r="P916" s="249"/>
      <c r="Q916" s="249"/>
      <c r="R916" s="249"/>
      <c r="S916" s="249"/>
      <c r="T916" s="249"/>
      <c r="U916" s="249"/>
      <c r="V916" s="249"/>
    </row>
    <row r="917">
      <c r="A917" s="255" t="s">
        <v>1933</v>
      </c>
      <c r="B917" s="248" t="s">
        <v>586</v>
      </c>
      <c r="C917" s="248" t="s">
        <v>587</v>
      </c>
      <c r="D917" s="248" t="s">
        <v>512</v>
      </c>
      <c r="E917" s="248">
        <v>19567.0</v>
      </c>
      <c r="F917" s="256">
        <v>45015.0</v>
      </c>
      <c r="G917" s="248">
        <v>2023.0</v>
      </c>
      <c r="H917" s="248" t="s">
        <v>513</v>
      </c>
      <c r="I917" s="248" t="s">
        <v>514</v>
      </c>
      <c r="J917" s="248" t="s">
        <v>297</v>
      </c>
      <c r="K917" s="249" t="s">
        <v>1941</v>
      </c>
      <c r="L917" s="257" t="s">
        <v>516</v>
      </c>
      <c r="M917" s="249"/>
      <c r="N917" s="249"/>
      <c r="O917" s="249"/>
      <c r="P917" s="249"/>
      <c r="Q917" s="249"/>
      <c r="R917" s="249"/>
      <c r="S917" s="249"/>
      <c r="T917" s="249"/>
      <c r="U917" s="249"/>
      <c r="V917" s="249"/>
    </row>
    <row r="918">
      <c r="A918" s="255" t="s">
        <v>1942</v>
      </c>
      <c r="B918" s="248" t="s">
        <v>530</v>
      </c>
      <c r="C918" s="248" t="s">
        <v>531</v>
      </c>
      <c r="D918" s="248" t="s">
        <v>575</v>
      </c>
      <c r="E918" s="248">
        <v>276993.0</v>
      </c>
      <c r="F918" s="256">
        <v>45015.0</v>
      </c>
      <c r="G918" s="248">
        <v>2023.0</v>
      </c>
      <c r="H918" s="248" t="s">
        <v>513</v>
      </c>
      <c r="I918" s="248" t="s">
        <v>514</v>
      </c>
      <c r="J918" s="248" t="s">
        <v>309</v>
      </c>
      <c r="K918" s="249" t="s">
        <v>1943</v>
      </c>
      <c r="L918" s="257" t="s">
        <v>516</v>
      </c>
      <c r="M918" s="249"/>
      <c r="N918" s="249"/>
      <c r="O918" s="249"/>
      <c r="P918" s="249"/>
      <c r="Q918" s="249"/>
      <c r="R918" s="249"/>
      <c r="S918" s="249"/>
      <c r="T918" s="249"/>
      <c r="U918" s="249"/>
      <c r="V918" s="249"/>
    </row>
    <row r="919">
      <c r="A919" s="255" t="s">
        <v>1944</v>
      </c>
      <c r="B919" s="248" t="s">
        <v>542</v>
      </c>
      <c r="C919" s="248" t="s">
        <v>543</v>
      </c>
      <c r="D919" s="248" t="s">
        <v>512</v>
      </c>
      <c r="E919" s="248">
        <v>1005.0</v>
      </c>
      <c r="F919" s="256">
        <v>45014.0</v>
      </c>
      <c r="G919" s="248">
        <v>2023.0</v>
      </c>
      <c r="H919" s="248" t="s">
        <v>559</v>
      </c>
      <c r="I919" s="248" t="s">
        <v>547</v>
      </c>
      <c r="J919" s="248" t="s">
        <v>297</v>
      </c>
      <c r="K919" s="249" t="s">
        <v>1945</v>
      </c>
      <c r="L919" s="257" t="s">
        <v>516</v>
      </c>
      <c r="M919" s="249"/>
      <c r="N919" s="249"/>
      <c r="O919" s="249"/>
      <c r="P919" s="249"/>
      <c r="Q919" s="249"/>
      <c r="R919" s="249"/>
      <c r="S919" s="249"/>
      <c r="T919" s="249"/>
      <c r="U919" s="249"/>
      <c r="V919" s="249"/>
    </row>
    <row r="920">
      <c r="A920" s="255" t="s">
        <v>1946</v>
      </c>
      <c r="B920" s="248" t="s">
        <v>688</v>
      </c>
      <c r="C920" s="248" t="s">
        <v>683</v>
      </c>
      <c r="D920" s="248" t="s">
        <v>520</v>
      </c>
      <c r="E920" s="248">
        <v>40290.0</v>
      </c>
      <c r="F920" s="256">
        <v>45014.0</v>
      </c>
      <c r="G920" s="248">
        <v>2023.0</v>
      </c>
      <c r="H920" s="248" t="s">
        <v>513</v>
      </c>
      <c r="I920" s="248" t="s">
        <v>521</v>
      </c>
      <c r="J920" s="248" t="s">
        <v>309</v>
      </c>
      <c r="K920" s="249" t="s">
        <v>1947</v>
      </c>
      <c r="L920" s="257" t="s">
        <v>516</v>
      </c>
      <c r="M920" s="249"/>
      <c r="N920" s="249"/>
      <c r="O920" s="249"/>
      <c r="P920" s="249"/>
      <c r="Q920" s="249"/>
      <c r="R920" s="249"/>
      <c r="S920" s="249"/>
      <c r="T920" s="249"/>
      <c r="U920" s="249"/>
      <c r="V920" s="249"/>
    </row>
    <row r="921">
      <c r="A921" s="255" t="s">
        <v>1948</v>
      </c>
      <c r="B921" s="248" t="s">
        <v>679</v>
      </c>
      <c r="C921" s="248" t="s">
        <v>663</v>
      </c>
      <c r="D921" s="248" t="s">
        <v>512</v>
      </c>
      <c r="E921" s="248">
        <v>7457.0</v>
      </c>
      <c r="F921" s="256">
        <v>45009.0</v>
      </c>
      <c r="G921" s="248">
        <v>2023.0</v>
      </c>
      <c r="H921" s="248" t="s">
        <v>513</v>
      </c>
      <c r="I921" s="248" t="s">
        <v>514</v>
      </c>
      <c r="J921" s="248" t="s">
        <v>297</v>
      </c>
      <c r="K921" s="249" t="s">
        <v>1949</v>
      </c>
      <c r="L921" s="257" t="s">
        <v>516</v>
      </c>
      <c r="M921" s="249"/>
      <c r="N921" s="249"/>
      <c r="O921" s="249"/>
      <c r="P921" s="249"/>
      <c r="Q921" s="249"/>
      <c r="R921" s="249"/>
      <c r="S921" s="249"/>
      <c r="T921" s="249"/>
      <c r="U921" s="249"/>
      <c r="V921" s="249"/>
    </row>
    <row r="922">
      <c r="A922" s="255" t="s">
        <v>1950</v>
      </c>
      <c r="B922" s="248" t="s">
        <v>578</v>
      </c>
      <c r="C922" s="248" t="s">
        <v>579</v>
      </c>
      <c r="D922" s="248" t="s">
        <v>512</v>
      </c>
      <c r="E922" s="248">
        <v>1457.0</v>
      </c>
      <c r="F922" s="256">
        <v>45009.0</v>
      </c>
      <c r="G922" s="248">
        <v>2023.0</v>
      </c>
      <c r="H922" s="248" t="s">
        <v>513</v>
      </c>
      <c r="I922" s="248" t="s">
        <v>514</v>
      </c>
      <c r="J922" s="248" t="s">
        <v>297</v>
      </c>
      <c r="K922" s="249" t="s">
        <v>1951</v>
      </c>
      <c r="L922" s="257" t="s">
        <v>516</v>
      </c>
      <c r="M922" s="249"/>
      <c r="N922" s="249"/>
      <c r="O922" s="249"/>
      <c r="P922" s="249"/>
      <c r="Q922" s="249"/>
      <c r="R922" s="249"/>
      <c r="S922" s="249"/>
      <c r="T922" s="249"/>
      <c r="U922" s="249"/>
      <c r="V922" s="249"/>
    </row>
    <row r="923">
      <c r="A923" s="255" t="s">
        <v>1952</v>
      </c>
      <c r="B923" s="248" t="s">
        <v>595</v>
      </c>
      <c r="C923" s="248" t="s">
        <v>596</v>
      </c>
      <c r="D923" s="248" t="s">
        <v>512</v>
      </c>
      <c r="E923" s="248">
        <v>1596.0</v>
      </c>
      <c r="F923" s="256">
        <v>45009.0</v>
      </c>
      <c r="G923" s="248">
        <v>2023.0</v>
      </c>
      <c r="H923" s="248" t="s">
        <v>513</v>
      </c>
      <c r="I923" s="248" t="s">
        <v>521</v>
      </c>
      <c r="J923" s="248" t="s">
        <v>297</v>
      </c>
      <c r="K923" s="249" t="s">
        <v>1953</v>
      </c>
      <c r="L923" s="257" t="s">
        <v>516</v>
      </c>
      <c r="M923" s="249"/>
      <c r="N923" s="249"/>
      <c r="O923" s="249"/>
      <c r="P923" s="249"/>
      <c r="Q923" s="249"/>
      <c r="R923" s="249"/>
      <c r="S923" s="249"/>
      <c r="T923" s="249"/>
      <c r="U923" s="249"/>
      <c r="V923" s="249"/>
    </row>
    <row r="924">
      <c r="A924" s="255" t="s">
        <v>1954</v>
      </c>
      <c r="B924" s="248" t="s">
        <v>611</v>
      </c>
      <c r="C924" s="248" t="s">
        <v>612</v>
      </c>
      <c r="D924" s="248" t="s">
        <v>512</v>
      </c>
      <c r="E924" s="248">
        <v>1557.0</v>
      </c>
      <c r="F924" s="256">
        <v>45007.0</v>
      </c>
      <c r="G924" s="248">
        <v>2023.0</v>
      </c>
      <c r="H924" s="248" t="s">
        <v>546</v>
      </c>
      <c r="I924" s="248" t="s">
        <v>521</v>
      </c>
      <c r="J924" s="248" t="s">
        <v>297</v>
      </c>
      <c r="K924" s="249" t="s">
        <v>1955</v>
      </c>
      <c r="L924" s="257" t="s">
        <v>516</v>
      </c>
      <c r="M924" s="249"/>
      <c r="N924" s="249"/>
      <c r="O924" s="249"/>
      <c r="P924" s="249"/>
      <c r="Q924" s="249"/>
      <c r="R924" s="249"/>
      <c r="S924" s="249"/>
      <c r="T924" s="249"/>
      <c r="U924" s="249"/>
      <c r="V924" s="249"/>
    </row>
    <row r="925">
      <c r="A925" s="255" t="s">
        <v>1956</v>
      </c>
      <c r="B925" s="248" t="s">
        <v>810</v>
      </c>
      <c r="C925" s="248" t="s">
        <v>655</v>
      </c>
      <c r="D925" s="248" t="s">
        <v>520</v>
      </c>
      <c r="E925" s="248">
        <v>15818.0</v>
      </c>
      <c r="F925" s="256">
        <v>45007.0</v>
      </c>
      <c r="G925" s="248">
        <v>2023.0</v>
      </c>
      <c r="H925" s="248" t="s">
        <v>513</v>
      </c>
      <c r="I925" s="248" t="s">
        <v>514</v>
      </c>
      <c r="J925" s="248" t="s">
        <v>309</v>
      </c>
      <c r="K925" s="249" t="s">
        <v>1957</v>
      </c>
      <c r="L925" s="257" t="s">
        <v>516</v>
      </c>
      <c r="M925" s="249"/>
      <c r="N925" s="249"/>
      <c r="O925" s="249"/>
      <c r="P925" s="249"/>
      <c r="Q925" s="249"/>
      <c r="R925" s="249"/>
      <c r="S925" s="249"/>
      <c r="T925" s="249"/>
      <c r="U925" s="249"/>
      <c r="V925" s="249"/>
    </row>
    <row r="926">
      <c r="A926" s="255" t="s">
        <v>1958</v>
      </c>
      <c r="B926" s="248" t="s">
        <v>573</v>
      </c>
      <c r="C926" s="248" t="s">
        <v>574</v>
      </c>
      <c r="D926" s="248" t="s">
        <v>520</v>
      </c>
      <c r="E926" s="248">
        <v>3851.0</v>
      </c>
      <c r="F926" s="256">
        <v>45007.0</v>
      </c>
      <c r="G926" s="248">
        <v>2023.0</v>
      </c>
      <c r="H926" s="248" t="s">
        <v>513</v>
      </c>
      <c r="I926" s="248" t="s">
        <v>514</v>
      </c>
      <c r="J926" s="248" t="s">
        <v>309</v>
      </c>
      <c r="K926" s="249" t="s">
        <v>1959</v>
      </c>
      <c r="L926" s="257" t="s">
        <v>516</v>
      </c>
      <c r="M926" s="249"/>
      <c r="N926" s="249"/>
      <c r="O926" s="249"/>
      <c r="P926" s="249"/>
      <c r="Q926" s="249"/>
      <c r="R926" s="249"/>
      <c r="S926" s="249"/>
      <c r="T926" s="249"/>
      <c r="U926" s="249"/>
      <c r="V926" s="249"/>
    </row>
    <row r="927">
      <c r="A927" s="255" t="s">
        <v>1960</v>
      </c>
      <c r="B927" s="248" t="s">
        <v>573</v>
      </c>
      <c r="C927" s="248" t="s">
        <v>574</v>
      </c>
      <c r="D927" s="248" t="s">
        <v>520</v>
      </c>
      <c r="E927" s="248">
        <v>2204.0</v>
      </c>
      <c r="F927" s="256">
        <v>45007.0</v>
      </c>
      <c r="G927" s="248">
        <v>2023.0</v>
      </c>
      <c r="H927" s="248" t="s">
        <v>513</v>
      </c>
      <c r="I927" s="248" t="s">
        <v>514</v>
      </c>
      <c r="J927" s="248" t="s">
        <v>309</v>
      </c>
      <c r="K927" s="249" t="s">
        <v>1961</v>
      </c>
      <c r="L927" s="257" t="s">
        <v>516</v>
      </c>
      <c r="M927" s="249"/>
      <c r="N927" s="249"/>
      <c r="O927" s="249"/>
      <c r="P927" s="249"/>
      <c r="Q927" s="249"/>
      <c r="R927" s="249"/>
      <c r="S927" s="249"/>
      <c r="T927" s="249"/>
      <c r="U927" s="249"/>
      <c r="V927" s="249"/>
    </row>
    <row r="928">
      <c r="A928" s="255" t="s">
        <v>1962</v>
      </c>
      <c r="B928" s="248" t="s">
        <v>573</v>
      </c>
      <c r="C928" s="248" t="s">
        <v>574</v>
      </c>
      <c r="D928" s="248" t="s">
        <v>520</v>
      </c>
      <c r="E928" s="248">
        <v>1126.0</v>
      </c>
      <c r="F928" s="256">
        <v>45007.0</v>
      </c>
      <c r="G928" s="248">
        <v>2023.0</v>
      </c>
      <c r="H928" s="248" t="s">
        <v>513</v>
      </c>
      <c r="I928" s="248" t="s">
        <v>514</v>
      </c>
      <c r="J928" s="248" t="s">
        <v>309</v>
      </c>
      <c r="K928" s="249" t="s">
        <v>1963</v>
      </c>
      <c r="L928" s="257" t="s">
        <v>516</v>
      </c>
      <c r="M928" s="249"/>
      <c r="N928" s="249"/>
      <c r="O928" s="249"/>
      <c r="P928" s="249"/>
      <c r="Q928" s="249"/>
      <c r="R928" s="249"/>
      <c r="S928" s="249"/>
      <c r="T928" s="249"/>
      <c r="U928" s="249"/>
      <c r="V928" s="249"/>
    </row>
    <row r="929">
      <c r="A929" s="255" t="s">
        <v>1964</v>
      </c>
      <c r="B929" s="248" t="s">
        <v>573</v>
      </c>
      <c r="C929" s="248" t="s">
        <v>574</v>
      </c>
      <c r="D929" s="248" t="s">
        <v>520</v>
      </c>
      <c r="E929" s="248">
        <v>1119.0</v>
      </c>
      <c r="F929" s="256">
        <v>45007.0</v>
      </c>
      <c r="G929" s="248">
        <v>2023.0</v>
      </c>
      <c r="H929" s="248" t="s">
        <v>513</v>
      </c>
      <c r="I929" s="248" t="s">
        <v>514</v>
      </c>
      <c r="J929" s="248" t="s">
        <v>309</v>
      </c>
      <c r="K929" s="249" t="s">
        <v>1965</v>
      </c>
      <c r="L929" s="257" t="s">
        <v>516</v>
      </c>
      <c r="M929" s="249"/>
      <c r="N929" s="249"/>
      <c r="O929" s="249"/>
      <c r="P929" s="249"/>
      <c r="Q929" s="249"/>
      <c r="R929" s="249"/>
      <c r="S929" s="249"/>
      <c r="T929" s="249"/>
      <c r="U929" s="249"/>
      <c r="V929" s="249"/>
    </row>
    <row r="930">
      <c r="A930" s="255" t="s">
        <v>1966</v>
      </c>
      <c r="B930" s="248" t="s">
        <v>573</v>
      </c>
      <c r="C930" s="248" t="s">
        <v>574</v>
      </c>
      <c r="D930" s="248" t="s">
        <v>520</v>
      </c>
      <c r="E930" s="248">
        <v>1345.0</v>
      </c>
      <c r="F930" s="256">
        <v>45007.0</v>
      </c>
      <c r="G930" s="248">
        <v>2023.0</v>
      </c>
      <c r="H930" s="248" t="s">
        <v>513</v>
      </c>
      <c r="I930" s="248" t="s">
        <v>514</v>
      </c>
      <c r="J930" s="248" t="s">
        <v>309</v>
      </c>
      <c r="K930" s="249" t="s">
        <v>1967</v>
      </c>
      <c r="L930" s="257" t="s">
        <v>516</v>
      </c>
      <c r="M930" s="249"/>
      <c r="N930" s="249"/>
      <c r="O930" s="249"/>
      <c r="P930" s="249"/>
      <c r="Q930" s="249"/>
      <c r="R930" s="249"/>
      <c r="S930" s="249"/>
      <c r="T930" s="249"/>
      <c r="U930" s="249"/>
      <c r="V930" s="249"/>
    </row>
    <row r="931">
      <c r="A931" s="255" t="s">
        <v>1968</v>
      </c>
      <c r="B931" s="248" t="s">
        <v>573</v>
      </c>
      <c r="C931" s="248" t="s">
        <v>574</v>
      </c>
      <c r="D931" s="248" t="s">
        <v>520</v>
      </c>
      <c r="E931" s="248">
        <v>1052.0</v>
      </c>
      <c r="F931" s="256">
        <v>45007.0</v>
      </c>
      <c r="G931" s="248">
        <v>2023.0</v>
      </c>
      <c r="H931" s="248" t="s">
        <v>513</v>
      </c>
      <c r="I931" s="248" t="s">
        <v>514</v>
      </c>
      <c r="J931" s="248" t="s">
        <v>309</v>
      </c>
      <c r="K931" s="249" t="s">
        <v>1969</v>
      </c>
      <c r="L931" s="257" t="s">
        <v>516</v>
      </c>
      <c r="M931" s="249"/>
      <c r="N931" s="249"/>
      <c r="O931" s="249"/>
      <c r="P931" s="249"/>
      <c r="Q931" s="249"/>
      <c r="R931" s="249"/>
      <c r="S931" s="249"/>
      <c r="T931" s="249"/>
      <c r="U931" s="249"/>
      <c r="V931" s="249"/>
    </row>
    <row r="932">
      <c r="A932" s="255" t="s">
        <v>1970</v>
      </c>
      <c r="B932" s="248" t="s">
        <v>573</v>
      </c>
      <c r="C932" s="248" t="s">
        <v>574</v>
      </c>
      <c r="D932" s="248" t="s">
        <v>520</v>
      </c>
      <c r="E932" s="248">
        <v>3851.0</v>
      </c>
      <c r="F932" s="256">
        <v>45006.0</v>
      </c>
      <c r="G932" s="248">
        <v>2023.0</v>
      </c>
      <c r="H932" s="248" t="s">
        <v>513</v>
      </c>
      <c r="I932" s="248" t="s">
        <v>514</v>
      </c>
      <c r="J932" s="248" t="s">
        <v>309</v>
      </c>
      <c r="K932" s="249" t="s">
        <v>1971</v>
      </c>
      <c r="L932" s="257" t="s">
        <v>516</v>
      </c>
      <c r="M932" s="249"/>
      <c r="N932" s="249"/>
      <c r="O932" s="249"/>
      <c r="P932" s="249"/>
      <c r="Q932" s="249"/>
      <c r="R932" s="249"/>
      <c r="S932" s="249"/>
      <c r="T932" s="249"/>
      <c r="U932" s="249"/>
      <c r="V932" s="249"/>
    </row>
    <row r="933">
      <c r="A933" s="255" t="s">
        <v>1972</v>
      </c>
      <c r="B933" s="248" t="s">
        <v>679</v>
      </c>
      <c r="C933" s="248" t="s">
        <v>663</v>
      </c>
      <c r="D933" s="248" t="s">
        <v>512</v>
      </c>
      <c r="E933" s="248">
        <v>134634.0</v>
      </c>
      <c r="F933" s="256">
        <v>45005.0</v>
      </c>
      <c r="G933" s="248">
        <v>2023.0</v>
      </c>
      <c r="H933" s="248" t="s">
        <v>513</v>
      </c>
      <c r="I933" s="248" t="s">
        <v>521</v>
      </c>
      <c r="J933" s="248" t="s">
        <v>297</v>
      </c>
      <c r="K933" s="249" t="s">
        <v>1973</v>
      </c>
      <c r="L933" s="257" t="s">
        <v>516</v>
      </c>
      <c r="M933" s="249"/>
      <c r="N933" s="249"/>
      <c r="O933" s="249"/>
      <c r="P933" s="249"/>
      <c r="Q933" s="249"/>
      <c r="R933" s="249"/>
      <c r="S933" s="249"/>
      <c r="T933" s="249"/>
      <c r="U933" s="249"/>
      <c r="V933" s="249"/>
    </row>
    <row r="934">
      <c r="A934" s="255" t="s">
        <v>1974</v>
      </c>
      <c r="B934" s="248" t="s">
        <v>595</v>
      </c>
      <c r="C934" s="248" t="s">
        <v>596</v>
      </c>
      <c r="D934" s="248" t="s">
        <v>512</v>
      </c>
      <c r="E934" s="248">
        <v>1161.0</v>
      </c>
      <c r="F934" s="256">
        <v>45005.0</v>
      </c>
      <c r="G934" s="248">
        <v>2023.0</v>
      </c>
      <c r="H934" s="248" t="s">
        <v>513</v>
      </c>
      <c r="I934" s="248" t="s">
        <v>514</v>
      </c>
      <c r="J934" s="248" t="s">
        <v>297</v>
      </c>
      <c r="K934" s="249" t="s">
        <v>1975</v>
      </c>
      <c r="L934" s="257" t="s">
        <v>516</v>
      </c>
      <c r="M934" s="249"/>
      <c r="N934" s="249"/>
      <c r="O934" s="249"/>
      <c r="P934" s="249"/>
      <c r="Q934" s="249"/>
      <c r="R934" s="249"/>
      <c r="S934" s="249"/>
      <c r="T934" s="249"/>
      <c r="U934" s="249"/>
      <c r="V934" s="249"/>
    </row>
    <row r="935">
      <c r="A935" s="255" t="s">
        <v>1976</v>
      </c>
      <c r="B935" s="248" t="s">
        <v>538</v>
      </c>
      <c r="C935" s="248" t="s">
        <v>539</v>
      </c>
      <c r="D935" s="248" t="s">
        <v>512</v>
      </c>
      <c r="E935" s="248">
        <v>2636.0</v>
      </c>
      <c r="F935" s="256">
        <v>45002.0</v>
      </c>
      <c r="G935" s="248">
        <v>2023.0</v>
      </c>
      <c r="H935" s="248" t="s">
        <v>513</v>
      </c>
      <c r="I935" s="248" t="s">
        <v>514</v>
      </c>
      <c r="J935" s="248" t="s">
        <v>297</v>
      </c>
      <c r="K935" s="249" t="s">
        <v>1895</v>
      </c>
      <c r="L935" s="257" t="s">
        <v>516</v>
      </c>
      <c r="M935" s="249"/>
      <c r="N935" s="249"/>
      <c r="O935" s="249"/>
      <c r="P935" s="249"/>
      <c r="Q935" s="249"/>
      <c r="R935" s="249"/>
      <c r="S935" s="249"/>
      <c r="T935" s="249"/>
      <c r="U935" s="249"/>
      <c r="V935" s="249"/>
    </row>
    <row r="936">
      <c r="A936" s="255" t="s">
        <v>1977</v>
      </c>
      <c r="B936" s="248" t="s">
        <v>721</v>
      </c>
      <c r="C936" s="248" t="s">
        <v>649</v>
      </c>
      <c r="D936" s="248" t="s">
        <v>512</v>
      </c>
      <c r="E936" s="248">
        <v>3013.0</v>
      </c>
      <c r="F936" s="256">
        <v>45002.0</v>
      </c>
      <c r="G936" s="248">
        <v>2023.0</v>
      </c>
      <c r="H936" s="248" t="s">
        <v>551</v>
      </c>
      <c r="I936" s="248" t="s">
        <v>620</v>
      </c>
      <c r="J936" s="248" t="s">
        <v>297</v>
      </c>
      <c r="K936" s="249" t="s">
        <v>1978</v>
      </c>
      <c r="L936" s="257" t="s">
        <v>516</v>
      </c>
      <c r="M936" s="249"/>
      <c r="N936" s="249"/>
      <c r="O936" s="249"/>
      <c r="P936" s="249"/>
      <c r="Q936" s="249"/>
      <c r="R936" s="249"/>
      <c r="S936" s="249"/>
      <c r="T936" s="249"/>
      <c r="U936" s="249"/>
      <c r="V936" s="249"/>
    </row>
    <row r="937">
      <c r="A937" s="255" t="s">
        <v>1979</v>
      </c>
      <c r="B937" s="248" t="s">
        <v>815</v>
      </c>
      <c r="C937" s="248" t="s">
        <v>728</v>
      </c>
      <c r="D937" s="248" t="s">
        <v>512</v>
      </c>
      <c r="E937" s="248">
        <v>12060.0</v>
      </c>
      <c r="F937" s="256">
        <v>45002.0</v>
      </c>
      <c r="G937" s="248">
        <v>2023.0</v>
      </c>
      <c r="H937" s="248" t="s">
        <v>513</v>
      </c>
      <c r="I937" s="248" t="s">
        <v>514</v>
      </c>
      <c r="J937" s="248" t="s">
        <v>309</v>
      </c>
      <c r="K937" s="249" t="s">
        <v>1980</v>
      </c>
      <c r="L937" s="257" t="s">
        <v>516</v>
      </c>
      <c r="M937" s="249"/>
      <c r="N937" s="249"/>
      <c r="O937" s="249"/>
      <c r="P937" s="249"/>
      <c r="Q937" s="249"/>
      <c r="R937" s="249"/>
      <c r="S937" s="249"/>
      <c r="T937" s="249"/>
      <c r="U937" s="249"/>
      <c r="V937" s="249"/>
    </row>
    <row r="938">
      <c r="A938" s="255" t="s">
        <v>1981</v>
      </c>
      <c r="B938" s="248" t="s">
        <v>530</v>
      </c>
      <c r="C938" s="248" t="s">
        <v>531</v>
      </c>
      <c r="D938" s="248" t="s">
        <v>512</v>
      </c>
      <c r="E938" s="248">
        <v>22971.0</v>
      </c>
      <c r="F938" s="256">
        <v>45001.0</v>
      </c>
      <c r="G938" s="248">
        <v>2023.0</v>
      </c>
      <c r="H938" s="248" t="s">
        <v>546</v>
      </c>
      <c r="I938" s="248" t="s">
        <v>514</v>
      </c>
      <c r="J938" s="248" t="s">
        <v>309</v>
      </c>
      <c r="K938" s="249" t="s">
        <v>1982</v>
      </c>
      <c r="L938" s="257" t="s">
        <v>516</v>
      </c>
      <c r="M938" s="249"/>
      <c r="N938" s="249"/>
      <c r="O938" s="249"/>
      <c r="P938" s="249"/>
      <c r="Q938" s="249"/>
      <c r="R938" s="249"/>
      <c r="S938" s="249"/>
      <c r="T938" s="249"/>
      <c r="U938" s="249"/>
      <c r="V938" s="249"/>
    </row>
    <row r="939">
      <c r="A939" s="255" t="s">
        <v>1983</v>
      </c>
      <c r="B939" s="248" t="s">
        <v>534</v>
      </c>
      <c r="C939" s="248" t="s">
        <v>535</v>
      </c>
      <c r="D939" s="248" t="s">
        <v>520</v>
      </c>
      <c r="E939" s="248">
        <v>88740.0</v>
      </c>
      <c r="F939" s="256">
        <v>45000.0</v>
      </c>
      <c r="G939" s="248">
        <v>2023.0</v>
      </c>
      <c r="H939" s="248" t="s">
        <v>513</v>
      </c>
      <c r="I939" s="248" t="s">
        <v>521</v>
      </c>
      <c r="J939" s="248" t="s">
        <v>309</v>
      </c>
      <c r="K939" s="249" t="s">
        <v>1984</v>
      </c>
      <c r="L939" s="257" t="s">
        <v>516</v>
      </c>
      <c r="M939" s="249"/>
      <c r="N939" s="249"/>
      <c r="O939" s="249"/>
      <c r="P939" s="249"/>
      <c r="Q939" s="249"/>
      <c r="R939" s="249"/>
      <c r="S939" s="249"/>
      <c r="T939" s="249"/>
      <c r="U939" s="249"/>
      <c r="V939" s="249"/>
    </row>
    <row r="940">
      <c r="A940" s="255" t="s">
        <v>1985</v>
      </c>
      <c r="B940" s="248" t="s">
        <v>530</v>
      </c>
      <c r="C940" s="248" t="s">
        <v>531</v>
      </c>
      <c r="D940" s="248" t="s">
        <v>575</v>
      </c>
      <c r="E940" s="248">
        <v>6460.0</v>
      </c>
      <c r="F940" s="256">
        <v>44999.0</v>
      </c>
      <c r="G940" s="248">
        <v>2023.0</v>
      </c>
      <c r="H940" s="248" t="s">
        <v>546</v>
      </c>
      <c r="I940" s="248" t="s">
        <v>547</v>
      </c>
      <c r="J940" s="248" t="s">
        <v>309</v>
      </c>
      <c r="K940" s="249" t="s">
        <v>1986</v>
      </c>
      <c r="L940" s="257" t="s">
        <v>516</v>
      </c>
      <c r="M940" s="249"/>
      <c r="N940" s="249"/>
      <c r="O940" s="249"/>
      <c r="P940" s="249"/>
      <c r="Q940" s="249"/>
      <c r="R940" s="249"/>
      <c r="S940" s="249"/>
      <c r="T940" s="249"/>
      <c r="U940" s="249"/>
      <c r="V940" s="249"/>
    </row>
    <row r="941">
      <c r="A941" s="255" t="s">
        <v>1987</v>
      </c>
      <c r="B941" s="248" t="s">
        <v>530</v>
      </c>
      <c r="C941" s="248" t="s">
        <v>531</v>
      </c>
      <c r="D941" s="248" t="s">
        <v>512</v>
      </c>
      <c r="E941" s="248">
        <v>3560.0</v>
      </c>
      <c r="F941" s="256">
        <v>44998.0</v>
      </c>
      <c r="G941" s="248">
        <v>2023.0</v>
      </c>
      <c r="H941" s="248" t="s">
        <v>513</v>
      </c>
      <c r="I941" s="248" t="s">
        <v>521</v>
      </c>
      <c r="J941" s="248" t="s">
        <v>309</v>
      </c>
      <c r="K941" s="249" t="s">
        <v>1988</v>
      </c>
      <c r="L941" s="257" t="s">
        <v>516</v>
      </c>
      <c r="M941" s="249"/>
      <c r="N941" s="249"/>
      <c r="O941" s="249"/>
      <c r="P941" s="249"/>
      <c r="Q941" s="249"/>
      <c r="R941" s="249"/>
      <c r="S941" s="249"/>
      <c r="T941" s="249"/>
      <c r="U941" s="249"/>
      <c r="V941" s="249"/>
    </row>
    <row r="942">
      <c r="A942" s="255" t="s">
        <v>1989</v>
      </c>
      <c r="B942" s="248" t="s">
        <v>668</v>
      </c>
      <c r="C942" s="248" t="s">
        <v>669</v>
      </c>
      <c r="D942" s="248" t="s">
        <v>512</v>
      </c>
      <c r="E942" s="248">
        <v>105094.0</v>
      </c>
      <c r="F942" s="256">
        <v>44998.0</v>
      </c>
      <c r="G942" s="248">
        <v>2023.0</v>
      </c>
      <c r="H942" s="248" t="s">
        <v>513</v>
      </c>
      <c r="I942" s="248" t="s">
        <v>514</v>
      </c>
      <c r="J942" s="248" t="s">
        <v>297</v>
      </c>
      <c r="K942" s="249" t="s">
        <v>1990</v>
      </c>
      <c r="L942" s="257" t="s">
        <v>516</v>
      </c>
      <c r="M942" s="249"/>
      <c r="N942" s="249"/>
      <c r="O942" s="249"/>
      <c r="P942" s="249"/>
      <c r="Q942" s="249"/>
      <c r="R942" s="249"/>
      <c r="S942" s="249"/>
      <c r="T942" s="249"/>
      <c r="U942" s="249"/>
      <c r="V942" s="249"/>
    </row>
    <row r="943">
      <c r="A943" s="255" t="s">
        <v>1991</v>
      </c>
      <c r="B943" s="248" t="s">
        <v>542</v>
      </c>
      <c r="C943" s="248" t="s">
        <v>543</v>
      </c>
      <c r="D943" s="248" t="s">
        <v>512</v>
      </c>
      <c r="E943" s="248">
        <v>94132.0</v>
      </c>
      <c r="F943" s="256">
        <v>44995.0</v>
      </c>
      <c r="G943" s="248">
        <v>2023.0</v>
      </c>
      <c r="H943" s="248" t="s">
        <v>513</v>
      </c>
      <c r="I943" s="248" t="s">
        <v>514</v>
      </c>
      <c r="J943" s="248" t="s">
        <v>297</v>
      </c>
      <c r="K943" s="249" t="s">
        <v>1992</v>
      </c>
      <c r="L943" s="257" t="s">
        <v>516</v>
      </c>
      <c r="M943" s="249"/>
      <c r="N943" s="249"/>
      <c r="O943" s="249"/>
      <c r="P943" s="249"/>
      <c r="Q943" s="249"/>
      <c r="R943" s="249"/>
      <c r="S943" s="249"/>
      <c r="T943" s="249"/>
      <c r="U943" s="249"/>
      <c r="V943" s="249"/>
    </row>
    <row r="944">
      <c r="A944" s="255" t="s">
        <v>1993</v>
      </c>
      <c r="B944" s="248" t="s">
        <v>538</v>
      </c>
      <c r="C944" s="248" t="s">
        <v>539</v>
      </c>
      <c r="D944" s="248" t="s">
        <v>512</v>
      </c>
      <c r="E944" s="248">
        <v>3304.0</v>
      </c>
      <c r="F944" s="256">
        <v>44995.0</v>
      </c>
      <c r="G944" s="248">
        <v>2023.0</v>
      </c>
      <c r="H944" s="248" t="s">
        <v>546</v>
      </c>
      <c r="I944" s="248" t="s">
        <v>561</v>
      </c>
      <c r="J944" s="248" t="s">
        <v>297</v>
      </c>
      <c r="K944" s="249" t="s">
        <v>1994</v>
      </c>
      <c r="L944" s="257" t="s">
        <v>516</v>
      </c>
      <c r="M944" s="249"/>
      <c r="N944" s="249"/>
      <c r="O944" s="249"/>
      <c r="P944" s="249"/>
      <c r="Q944" s="249"/>
      <c r="R944" s="249"/>
      <c r="S944" s="249"/>
      <c r="T944" s="249"/>
      <c r="U944" s="249"/>
      <c r="V944" s="249"/>
    </row>
    <row r="945">
      <c r="A945" s="255" t="s">
        <v>1995</v>
      </c>
      <c r="B945" s="248" t="s">
        <v>611</v>
      </c>
      <c r="C945" s="248" t="s">
        <v>612</v>
      </c>
      <c r="D945" s="248" t="s">
        <v>512</v>
      </c>
      <c r="E945" s="248">
        <v>1493.0</v>
      </c>
      <c r="F945" s="256">
        <v>44993.0</v>
      </c>
      <c r="G945" s="248">
        <v>2023.0</v>
      </c>
      <c r="H945" s="248" t="s">
        <v>513</v>
      </c>
      <c r="I945" s="248" t="s">
        <v>514</v>
      </c>
      <c r="J945" s="248" t="s">
        <v>297</v>
      </c>
      <c r="K945" s="249" t="s">
        <v>1996</v>
      </c>
      <c r="L945" s="257" t="s">
        <v>516</v>
      </c>
      <c r="M945" s="249"/>
      <c r="N945" s="249"/>
      <c r="O945" s="249"/>
      <c r="P945" s="249"/>
      <c r="Q945" s="249"/>
      <c r="R945" s="249"/>
      <c r="S945" s="249"/>
      <c r="T945" s="249"/>
      <c r="U945" s="249"/>
      <c r="V945" s="249"/>
    </row>
    <row r="946">
      <c r="A946" s="255" t="s">
        <v>1997</v>
      </c>
      <c r="B946" s="248" t="s">
        <v>530</v>
      </c>
      <c r="C946" s="248" t="s">
        <v>531</v>
      </c>
      <c r="D946" s="248" t="s">
        <v>575</v>
      </c>
      <c r="E946" s="248">
        <v>1190.0</v>
      </c>
      <c r="F946" s="256">
        <v>44993.0</v>
      </c>
      <c r="G946" s="248">
        <v>2023.0</v>
      </c>
      <c r="H946" s="248" t="s">
        <v>513</v>
      </c>
      <c r="I946" s="248" t="s">
        <v>521</v>
      </c>
      <c r="J946" s="248" t="s">
        <v>297</v>
      </c>
      <c r="K946" s="249" t="s">
        <v>1998</v>
      </c>
      <c r="L946" s="257" t="s">
        <v>516</v>
      </c>
      <c r="M946" s="249"/>
      <c r="N946" s="249"/>
      <c r="O946" s="249"/>
      <c r="P946" s="249"/>
      <c r="Q946" s="249"/>
      <c r="R946" s="249"/>
      <c r="S946" s="249"/>
      <c r="T946" s="249"/>
      <c r="U946" s="249"/>
      <c r="V946" s="249"/>
    </row>
    <row r="947">
      <c r="A947" s="255" t="s">
        <v>1999</v>
      </c>
      <c r="B947" s="248" t="s">
        <v>924</v>
      </c>
      <c r="C947" s="248" t="s">
        <v>725</v>
      </c>
      <c r="D947" s="248" t="s">
        <v>512</v>
      </c>
      <c r="E947" s="248">
        <v>15298.0</v>
      </c>
      <c r="F947" s="256">
        <v>44991.0</v>
      </c>
      <c r="G947" s="248">
        <v>2023.0</v>
      </c>
      <c r="H947" s="248" t="s">
        <v>513</v>
      </c>
      <c r="I947" s="248" t="s">
        <v>514</v>
      </c>
      <c r="J947" s="248" t="s">
        <v>297</v>
      </c>
      <c r="K947" s="248" t="s">
        <v>2000</v>
      </c>
      <c r="L947" s="257" t="s">
        <v>516</v>
      </c>
      <c r="M947" s="249"/>
      <c r="N947" s="249"/>
      <c r="O947" s="249"/>
      <c r="P947" s="249"/>
      <c r="Q947" s="249"/>
      <c r="R947" s="249"/>
      <c r="S947" s="249"/>
      <c r="T947" s="249"/>
      <c r="U947" s="249"/>
      <c r="V947" s="249"/>
    </row>
    <row r="948">
      <c r="A948" s="255" t="s">
        <v>2001</v>
      </c>
      <c r="B948" s="248" t="s">
        <v>1259</v>
      </c>
      <c r="C948" s="248" t="s">
        <v>740</v>
      </c>
      <c r="D948" s="248" t="s">
        <v>512</v>
      </c>
      <c r="E948" s="248">
        <v>2453.0</v>
      </c>
      <c r="F948" s="256">
        <v>44988.0</v>
      </c>
      <c r="G948" s="248">
        <v>2023.0</v>
      </c>
      <c r="H948" s="248" t="s">
        <v>546</v>
      </c>
      <c r="I948" s="248" t="s">
        <v>514</v>
      </c>
      <c r="J948" s="248" t="s">
        <v>297</v>
      </c>
      <c r="K948" s="249" t="s">
        <v>2002</v>
      </c>
      <c r="L948" s="257" t="s">
        <v>516</v>
      </c>
      <c r="M948" s="249"/>
      <c r="N948" s="249"/>
      <c r="O948" s="249"/>
      <c r="P948" s="249"/>
      <c r="Q948" s="249"/>
      <c r="R948" s="249"/>
      <c r="S948" s="249"/>
      <c r="T948" s="249"/>
      <c r="U948" s="249"/>
      <c r="V948" s="249"/>
    </row>
    <row r="949">
      <c r="A949" s="255" t="s">
        <v>2003</v>
      </c>
      <c r="B949" s="248" t="s">
        <v>582</v>
      </c>
      <c r="C949" s="248" t="s">
        <v>583</v>
      </c>
      <c r="D949" s="248" t="s">
        <v>520</v>
      </c>
      <c r="E949" s="248">
        <v>3179835.0</v>
      </c>
      <c r="F949" s="256">
        <v>44986.0</v>
      </c>
      <c r="G949" s="248">
        <v>2023.0</v>
      </c>
      <c r="H949" s="248" t="s">
        <v>546</v>
      </c>
      <c r="I949" s="248" t="s">
        <v>514</v>
      </c>
      <c r="J949" s="248" t="s">
        <v>309</v>
      </c>
      <c r="K949" s="249" t="s">
        <v>2004</v>
      </c>
      <c r="L949" s="257" t="s">
        <v>516</v>
      </c>
      <c r="M949" s="249"/>
      <c r="N949" s="249"/>
      <c r="O949" s="249"/>
      <c r="P949" s="249"/>
      <c r="Q949" s="249"/>
      <c r="R949" s="249"/>
      <c r="S949" s="249"/>
      <c r="T949" s="249"/>
      <c r="U949" s="249"/>
      <c r="V949" s="249"/>
    </row>
    <row r="950">
      <c r="A950" s="255" t="s">
        <v>2005</v>
      </c>
      <c r="B950" s="248" t="s">
        <v>679</v>
      </c>
      <c r="C950" s="248" t="s">
        <v>663</v>
      </c>
      <c r="D950" s="248" t="s">
        <v>520</v>
      </c>
      <c r="E950" s="248">
        <v>2069.0</v>
      </c>
      <c r="F950" s="256">
        <v>44986.0</v>
      </c>
      <c r="G950" s="248">
        <v>2023.0</v>
      </c>
      <c r="H950" s="248" t="s">
        <v>513</v>
      </c>
      <c r="I950" s="248" t="s">
        <v>514</v>
      </c>
      <c r="J950" s="248" t="s">
        <v>309</v>
      </c>
      <c r="K950" s="249" t="s">
        <v>2006</v>
      </c>
      <c r="L950" s="257" t="s">
        <v>516</v>
      </c>
      <c r="M950" s="249"/>
      <c r="N950" s="249"/>
      <c r="O950" s="249"/>
      <c r="P950" s="249"/>
      <c r="Q950" s="249"/>
      <c r="R950" s="249"/>
      <c r="S950" s="249"/>
      <c r="T950" s="249"/>
      <c r="U950" s="249"/>
      <c r="V950" s="249"/>
    </row>
    <row r="951">
      <c r="A951" s="255" t="s">
        <v>2007</v>
      </c>
      <c r="B951" s="248" t="s">
        <v>573</v>
      </c>
      <c r="C951" s="248" t="s">
        <v>574</v>
      </c>
      <c r="D951" s="248" t="s">
        <v>512</v>
      </c>
      <c r="E951" s="248">
        <v>2317.0</v>
      </c>
      <c r="F951" s="256">
        <v>44985.0</v>
      </c>
      <c r="G951" s="248">
        <v>2023.0</v>
      </c>
      <c r="H951" s="248" t="s">
        <v>546</v>
      </c>
      <c r="I951" s="248" t="s">
        <v>521</v>
      </c>
      <c r="J951" s="248" t="s">
        <v>297</v>
      </c>
      <c r="K951" s="249" t="s">
        <v>2008</v>
      </c>
      <c r="L951" s="257" t="s">
        <v>516</v>
      </c>
      <c r="M951" s="249"/>
      <c r="N951" s="249"/>
      <c r="O951" s="249"/>
      <c r="P951" s="249"/>
      <c r="Q951" s="249"/>
      <c r="R951" s="249"/>
      <c r="S951" s="249"/>
      <c r="T951" s="249"/>
      <c r="U951" s="249"/>
      <c r="V951" s="249"/>
    </row>
    <row r="952">
      <c r="A952" s="255" t="s">
        <v>2009</v>
      </c>
      <c r="B952" s="248" t="s">
        <v>595</v>
      </c>
      <c r="C952" s="248" t="s">
        <v>596</v>
      </c>
      <c r="D952" s="248" t="s">
        <v>512</v>
      </c>
      <c r="E952" s="248">
        <v>8834.0</v>
      </c>
      <c r="F952" s="256">
        <v>44981.0</v>
      </c>
      <c r="G952" s="248">
        <v>2023.0</v>
      </c>
      <c r="H952" s="248" t="s">
        <v>546</v>
      </c>
      <c r="I952" s="248" t="s">
        <v>561</v>
      </c>
      <c r="J952" s="248" t="s">
        <v>297</v>
      </c>
      <c r="K952" s="249" t="s">
        <v>2010</v>
      </c>
      <c r="L952" s="257" t="s">
        <v>516</v>
      </c>
      <c r="M952" s="249"/>
      <c r="N952" s="249"/>
      <c r="O952" s="249"/>
      <c r="P952" s="249"/>
      <c r="Q952" s="249"/>
      <c r="R952" s="249"/>
      <c r="S952" s="249"/>
      <c r="T952" s="249"/>
      <c r="U952" s="249"/>
      <c r="V952" s="249"/>
    </row>
    <row r="953">
      <c r="A953" s="255" t="s">
        <v>2011</v>
      </c>
      <c r="B953" s="248" t="s">
        <v>980</v>
      </c>
      <c r="C953" s="248" t="s">
        <v>701</v>
      </c>
      <c r="D953" s="248" t="s">
        <v>512</v>
      </c>
      <c r="E953" s="248">
        <v>20216.0</v>
      </c>
      <c r="F953" s="256">
        <v>44981.0</v>
      </c>
      <c r="G953" s="248">
        <v>2023.0</v>
      </c>
      <c r="H953" s="248" t="s">
        <v>513</v>
      </c>
      <c r="I953" s="248" t="s">
        <v>514</v>
      </c>
      <c r="J953" s="248" t="s">
        <v>297</v>
      </c>
      <c r="K953" s="249" t="s">
        <v>2012</v>
      </c>
      <c r="L953" s="257" t="s">
        <v>516</v>
      </c>
      <c r="M953" s="249"/>
      <c r="N953" s="249"/>
      <c r="O953" s="249"/>
      <c r="P953" s="249"/>
      <c r="Q953" s="249"/>
      <c r="R953" s="249"/>
      <c r="S953" s="249"/>
      <c r="T953" s="249"/>
      <c r="U953" s="249"/>
      <c r="V953" s="249"/>
    </row>
    <row r="954">
      <c r="A954" s="255" t="s">
        <v>2013</v>
      </c>
      <c r="B954" s="248" t="s">
        <v>590</v>
      </c>
      <c r="C954" s="248" t="s">
        <v>591</v>
      </c>
      <c r="D954" s="248" t="s">
        <v>512</v>
      </c>
      <c r="E954" s="248">
        <v>76571.0</v>
      </c>
      <c r="F954" s="256">
        <v>44980.0</v>
      </c>
      <c r="G954" s="248">
        <v>2023.0</v>
      </c>
      <c r="H954" s="248" t="s">
        <v>513</v>
      </c>
      <c r="I954" s="248" t="s">
        <v>514</v>
      </c>
      <c r="J954" s="248" t="s">
        <v>309</v>
      </c>
      <c r="K954" s="249" t="s">
        <v>2014</v>
      </c>
      <c r="L954" s="257" t="s">
        <v>516</v>
      </c>
      <c r="M954" s="249"/>
      <c r="N954" s="249"/>
      <c r="O954" s="249"/>
      <c r="P954" s="249"/>
      <c r="Q954" s="249"/>
      <c r="R954" s="249"/>
      <c r="S954" s="249"/>
      <c r="T954" s="249"/>
      <c r="U954" s="249"/>
      <c r="V954" s="249"/>
    </row>
    <row r="955">
      <c r="A955" s="255" t="s">
        <v>2015</v>
      </c>
      <c r="B955" s="248" t="s">
        <v>530</v>
      </c>
      <c r="C955" s="248" t="s">
        <v>531</v>
      </c>
      <c r="D955" s="248" t="s">
        <v>512</v>
      </c>
      <c r="E955" s="248">
        <v>62777.0</v>
      </c>
      <c r="F955" s="256">
        <v>44974.0</v>
      </c>
      <c r="G955" s="248">
        <v>2023.0</v>
      </c>
      <c r="H955" s="248" t="s">
        <v>513</v>
      </c>
      <c r="I955" s="248" t="s">
        <v>514</v>
      </c>
      <c r="J955" s="248" t="s">
        <v>297</v>
      </c>
      <c r="K955" s="249" t="s">
        <v>2016</v>
      </c>
      <c r="L955" s="257" t="s">
        <v>516</v>
      </c>
      <c r="M955" s="249"/>
      <c r="N955" s="249"/>
      <c r="O955" s="249"/>
      <c r="P955" s="249"/>
      <c r="Q955" s="249"/>
      <c r="R955" s="249"/>
      <c r="S955" s="249"/>
      <c r="T955" s="249"/>
      <c r="U955" s="249"/>
      <c r="V955" s="249"/>
    </row>
    <row r="956">
      <c r="A956" s="255" t="s">
        <v>2017</v>
      </c>
      <c r="B956" s="248" t="s">
        <v>611</v>
      </c>
      <c r="C956" s="248" t="s">
        <v>612</v>
      </c>
      <c r="D956" s="248" t="s">
        <v>512</v>
      </c>
      <c r="E956" s="248">
        <v>215632.0</v>
      </c>
      <c r="F956" s="256">
        <v>44974.0</v>
      </c>
      <c r="G956" s="248">
        <v>2023.0</v>
      </c>
      <c r="H956" s="248" t="s">
        <v>513</v>
      </c>
      <c r="I956" s="248" t="s">
        <v>514</v>
      </c>
      <c r="J956" s="248" t="s">
        <v>297</v>
      </c>
      <c r="K956" s="249" t="s">
        <v>2018</v>
      </c>
      <c r="L956" s="257" t="s">
        <v>516</v>
      </c>
      <c r="M956" s="249"/>
      <c r="N956" s="249"/>
      <c r="O956" s="249"/>
      <c r="P956" s="249"/>
      <c r="Q956" s="249"/>
      <c r="R956" s="249"/>
      <c r="S956" s="249"/>
      <c r="T956" s="249"/>
      <c r="U956" s="249"/>
      <c r="V956" s="249"/>
    </row>
    <row r="957">
      <c r="A957" s="255" t="s">
        <v>2019</v>
      </c>
      <c r="B957" s="248" t="s">
        <v>810</v>
      </c>
      <c r="C957" s="248" t="s">
        <v>655</v>
      </c>
      <c r="D957" s="248" t="s">
        <v>512</v>
      </c>
      <c r="E957" s="248">
        <v>1136.0</v>
      </c>
      <c r="F957" s="256">
        <v>44974.0</v>
      </c>
      <c r="G957" s="248">
        <v>2023.0</v>
      </c>
      <c r="H957" s="248" t="s">
        <v>546</v>
      </c>
      <c r="I957" s="248" t="s">
        <v>514</v>
      </c>
      <c r="J957" s="248" t="s">
        <v>309</v>
      </c>
      <c r="K957" s="249" t="s">
        <v>2020</v>
      </c>
      <c r="L957" s="257" t="s">
        <v>516</v>
      </c>
      <c r="M957" s="249"/>
      <c r="N957" s="249"/>
      <c r="O957" s="249"/>
      <c r="P957" s="249"/>
      <c r="Q957" s="249"/>
      <c r="R957" s="249"/>
      <c r="S957" s="249"/>
      <c r="T957" s="249"/>
      <c r="U957" s="249"/>
      <c r="V957" s="249"/>
    </row>
    <row r="958">
      <c r="A958" s="255" t="s">
        <v>2021</v>
      </c>
      <c r="B958" s="248" t="s">
        <v>586</v>
      </c>
      <c r="C958" s="248" t="s">
        <v>587</v>
      </c>
      <c r="D958" s="248" t="s">
        <v>512</v>
      </c>
      <c r="E958" s="248">
        <v>1127.0</v>
      </c>
      <c r="F958" s="256">
        <v>44974.0</v>
      </c>
      <c r="G958" s="248">
        <v>2023.0</v>
      </c>
      <c r="H958" s="248" t="s">
        <v>546</v>
      </c>
      <c r="I958" s="248" t="s">
        <v>618</v>
      </c>
      <c r="J958" s="248" t="s">
        <v>297</v>
      </c>
      <c r="K958" s="249" t="s">
        <v>2022</v>
      </c>
      <c r="L958" s="257" t="s">
        <v>516</v>
      </c>
      <c r="M958" s="249"/>
      <c r="N958" s="249"/>
      <c r="O958" s="249"/>
      <c r="P958" s="249"/>
      <c r="Q958" s="249"/>
      <c r="R958" s="249"/>
      <c r="S958" s="249"/>
      <c r="T958" s="249"/>
      <c r="U958" s="249"/>
      <c r="V958" s="249"/>
    </row>
    <row r="959">
      <c r="A959" s="255" t="s">
        <v>2023</v>
      </c>
      <c r="B959" s="248" t="s">
        <v>831</v>
      </c>
      <c r="C959" s="248" t="s">
        <v>754</v>
      </c>
      <c r="D959" s="248" t="s">
        <v>512</v>
      </c>
      <c r="E959" s="248">
        <v>8500.0</v>
      </c>
      <c r="F959" s="256">
        <v>44972.0</v>
      </c>
      <c r="G959" s="248">
        <v>2023.0</v>
      </c>
      <c r="H959" s="248" t="s">
        <v>513</v>
      </c>
      <c r="I959" s="248" t="s">
        <v>514</v>
      </c>
      <c r="J959" s="248" t="s">
        <v>309</v>
      </c>
      <c r="K959" s="249" t="s">
        <v>2024</v>
      </c>
      <c r="L959" s="257" t="s">
        <v>516</v>
      </c>
      <c r="M959" s="249"/>
      <c r="N959" s="249"/>
      <c r="O959" s="249"/>
      <c r="P959" s="249"/>
      <c r="Q959" s="249"/>
      <c r="R959" s="249"/>
      <c r="S959" s="249"/>
      <c r="T959" s="249"/>
      <c r="U959" s="249"/>
      <c r="V959" s="249"/>
    </row>
    <row r="960">
      <c r="A960" s="255" t="s">
        <v>2025</v>
      </c>
      <c r="B960" s="248" t="s">
        <v>525</v>
      </c>
      <c r="C960" s="248" t="s">
        <v>526</v>
      </c>
      <c r="D960" s="248" t="s">
        <v>512</v>
      </c>
      <c r="E960" s="248">
        <v>2454.0</v>
      </c>
      <c r="F960" s="256">
        <v>44971.0</v>
      </c>
      <c r="G960" s="248">
        <v>2023.0</v>
      </c>
      <c r="H960" s="248" t="s">
        <v>513</v>
      </c>
      <c r="I960" s="248" t="s">
        <v>514</v>
      </c>
      <c r="J960" s="248" t="s">
        <v>297</v>
      </c>
      <c r="K960" s="249" t="s">
        <v>2026</v>
      </c>
      <c r="L960" s="257" t="s">
        <v>516</v>
      </c>
      <c r="M960" s="249"/>
      <c r="N960" s="249"/>
      <c r="O960" s="249"/>
      <c r="P960" s="249"/>
      <c r="Q960" s="249"/>
      <c r="R960" s="249"/>
      <c r="S960" s="249"/>
      <c r="T960" s="249"/>
      <c r="U960" s="249"/>
      <c r="V960" s="249"/>
    </row>
    <row r="961">
      <c r="A961" s="255" t="s">
        <v>2027</v>
      </c>
      <c r="B961" s="248" t="s">
        <v>542</v>
      </c>
      <c r="C961" s="248" t="s">
        <v>543</v>
      </c>
      <c r="D961" s="248" t="s">
        <v>520</v>
      </c>
      <c r="E961" s="248">
        <v>4212823.0</v>
      </c>
      <c r="F961" s="256">
        <v>44967.0</v>
      </c>
      <c r="G961" s="248">
        <v>2023.0</v>
      </c>
      <c r="H961" s="248" t="s">
        <v>513</v>
      </c>
      <c r="I961" s="248" t="s">
        <v>514</v>
      </c>
      <c r="J961" s="248" t="s">
        <v>309</v>
      </c>
      <c r="K961" s="249" t="s">
        <v>66</v>
      </c>
      <c r="L961" s="257" t="s">
        <v>516</v>
      </c>
      <c r="M961" s="249"/>
      <c r="N961" s="249"/>
      <c r="O961" s="249"/>
      <c r="P961" s="249"/>
      <c r="Q961" s="249"/>
      <c r="R961" s="249"/>
      <c r="S961" s="249"/>
      <c r="T961" s="249"/>
      <c r="U961" s="249"/>
      <c r="V961" s="249"/>
    </row>
    <row r="962">
      <c r="A962" s="255" t="s">
        <v>2028</v>
      </c>
      <c r="B962" s="248" t="s">
        <v>578</v>
      </c>
      <c r="C962" s="248" t="s">
        <v>579</v>
      </c>
      <c r="D962" s="248" t="s">
        <v>512</v>
      </c>
      <c r="E962" s="248">
        <v>617901.0</v>
      </c>
      <c r="F962" s="256">
        <v>44967.0</v>
      </c>
      <c r="G962" s="248">
        <v>2023.0</v>
      </c>
      <c r="H962" s="248" t="s">
        <v>513</v>
      </c>
      <c r="I962" s="248" t="s">
        <v>514</v>
      </c>
      <c r="J962" s="248" t="s">
        <v>297</v>
      </c>
      <c r="K962" s="249" t="s">
        <v>2029</v>
      </c>
      <c r="L962" s="257" t="s">
        <v>516</v>
      </c>
      <c r="M962" s="249"/>
      <c r="N962" s="249"/>
      <c r="O962" s="249"/>
      <c r="P962" s="249"/>
      <c r="Q962" s="249"/>
      <c r="R962" s="249"/>
      <c r="S962" s="249"/>
      <c r="T962" s="249"/>
      <c r="U962" s="249"/>
      <c r="V962" s="249"/>
    </row>
    <row r="963">
      <c r="A963" s="255" t="s">
        <v>2030</v>
      </c>
      <c r="B963" s="248" t="s">
        <v>748</v>
      </c>
      <c r="C963" s="248" t="s">
        <v>694</v>
      </c>
      <c r="D963" s="248" t="s">
        <v>520</v>
      </c>
      <c r="E963" s="248">
        <v>11595.0</v>
      </c>
      <c r="F963" s="256">
        <v>44967.0</v>
      </c>
      <c r="G963" s="248">
        <v>2023.0</v>
      </c>
      <c r="H963" s="248" t="s">
        <v>513</v>
      </c>
      <c r="I963" s="248" t="s">
        <v>514</v>
      </c>
      <c r="J963" s="248" t="s">
        <v>309</v>
      </c>
      <c r="K963" s="249" t="s">
        <v>2031</v>
      </c>
      <c r="L963" s="257" t="s">
        <v>516</v>
      </c>
      <c r="M963" s="249"/>
      <c r="N963" s="249"/>
      <c r="O963" s="249"/>
      <c r="P963" s="249"/>
      <c r="Q963" s="249"/>
      <c r="R963" s="249"/>
      <c r="S963" s="249"/>
      <c r="T963" s="249"/>
      <c r="U963" s="249"/>
      <c r="V963" s="249"/>
    </row>
    <row r="964">
      <c r="A964" s="255" t="s">
        <v>2032</v>
      </c>
      <c r="B964" s="248" t="s">
        <v>688</v>
      </c>
      <c r="C964" s="248" t="s">
        <v>683</v>
      </c>
      <c r="D964" s="248" t="s">
        <v>520</v>
      </c>
      <c r="E964" s="248">
        <v>36600.0</v>
      </c>
      <c r="F964" s="256">
        <v>44967.0</v>
      </c>
      <c r="G964" s="248">
        <v>2023.0</v>
      </c>
      <c r="H964" s="248" t="s">
        <v>513</v>
      </c>
      <c r="I964" s="248" t="s">
        <v>521</v>
      </c>
      <c r="J964" s="248" t="s">
        <v>309</v>
      </c>
      <c r="K964" s="249" t="s">
        <v>66</v>
      </c>
      <c r="L964" s="257" t="s">
        <v>516</v>
      </c>
      <c r="M964" s="249"/>
      <c r="N964" s="249"/>
      <c r="O964" s="249"/>
      <c r="P964" s="249"/>
      <c r="Q964" s="249"/>
      <c r="R964" s="249"/>
      <c r="S964" s="249"/>
      <c r="T964" s="249"/>
      <c r="U964" s="249"/>
      <c r="V964" s="249"/>
    </row>
    <row r="965">
      <c r="A965" s="255" t="s">
        <v>2033</v>
      </c>
      <c r="B965" s="248" t="s">
        <v>525</v>
      </c>
      <c r="C965" s="248" t="s">
        <v>526</v>
      </c>
      <c r="D965" s="248" t="s">
        <v>512</v>
      </c>
      <c r="E965" s="248">
        <v>21325.0</v>
      </c>
      <c r="F965" s="256">
        <v>44967.0</v>
      </c>
      <c r="G965" s="248">
        <v>2023.0</v>
      </c>
      <c r="H965" s="248" t="s">
        <v>513</v>
      </c>
      <c r="I965" s="248" t="s">
        <v>514</v>
      </c>
      <c r="J965" s="248" t="s">
        <v>297</v>
      </c>
      <c r="K965" s="249" t="s">
        <v>2034</v>
      </c>
      <c r="L965" s="257" t="s">
        <v>516</v>
      </c>
      <c r="M965" s="249"/>
      <c r="N965" s="249"/>
      <c r="O965" s="249"/>
      <c r="P965" s="249"/>
      <c r="Q965" s="249"/>
      <c r="R965" s="249"/>
      <c r="S965" s="249"/>
      <c r="T965" s="249"/>
      <c r="U965" s="249"/>
      <c r="V965" s="249"/>
    </row>
    <row r="966">
      <c r="A966" s="255" t="s">
        <v>2035</v>
      </c>
      <c r="B966" s="248" t="s">
        <v>688</v>
      </c>
      <c r="C966" s="248" t="s">
        <v>683</v>
      </c>
      <c r="D966" s="248" t="s">
        <v>575</v>
      </c>
      <c r="E966" s="248">
        <v>239039.0</v>
      </c>
      <c r="F966" s="256">
        <v>44967.0</v>
      </c>
      <c r="G966" s="248">
        <v>2023.0</v>
      </c>
      <c r="H966" s="248" t="s">
        <v>513</v>
      </c>
      <c r="I966" s="248" t="s">
        <v>521</v>
      </c>
      <c r="J966" s="248" t="s">
        <v>297</v>
      </c>
      <c r="K966" s="249" t="s">
        <v>2036</v>
      </c>
      <c r="L966" s="257" t="s">
        <v>516</v>
      </c>
      <c r="M966" s="249"/>
      <c r="N966" s="249"/>
      <c r="O966" s="249"/>
      <c r="P966" s="249"/>
      <c r="Q966" s="249"/>
      <c r="R966" s="249"/>
      <c r="S966" s="249"/>
      <c r="T966" s="249"/>
      <c r="U966" s="249"/>
      <c r="V966" s="249"/>
    </row>
    <row r="967">
      <c r="A967" s="255" t="s">
        <v>2037</v>
      </c>
      <c r="B967" s="248" t="s">
        <v>510</v>
      </c>
      <c r="C967" s="248" t="s">
        <v>511</v>
      </c>
      <c r="D967" s="248" t="s">
        <v>512</v>
      </c>
      <c r="E967" s="248">
        <v>4158.0</v>
      </c>
      <c r="F967" s="256">
        <v>44967.0</v>
      </c>
      <c r="G967" s="248">
        <v>2023.0</v>
      </c>
      <c r="H967" s="248" t="s">
        <v>513</v>
      </c>
      <c r="I967" s="248" t="s">
        <v>561</v>
      </c>
      <c r="J967" s="248" t="s">
        <v>309</v>
      </c>
      <c r="K967" s="249" t="s">
        <v>2038</v>
      </c>
      <c r="L967" s="257" t="s">
        <v>516</v>
      </c>
      <c r="M967" s="249"/>
      <c r="N967" s="249"/>
      <c r="O967" s="249"/>
      <c r="P967" s="249"/>
      <c r="Q967" s="249"/>
      <c r="R967" s="249"/>
      <c r="S967" s="249"/>
      <c r="T967" s="249"/>
      <c r="U967" s="249"/>
      <c r="V967" s="249"/>
    </row>
    <row r="968">
      <c r="A968" s="255" t="s">
        <v>2039</v>
      </c>
      <c r="B968" s="248" t="s">
        <v>956</v>
      </c>
      <c r="C968" s="248" t="s">
        <v>680</v>
      </c>
      <c r="D968" s="248" t="s">
        <v>512</v>
      </c>
      <c r="E968" s="248">
        <v>13752.0</v>
      </c>
      <c r="F968" s="256">
        <v>44967.0</v>
      </c>
      <c r="G968" s="248">
        <v>2023.0</v>
      </c>
      <c r="H968" s="248" t="s">
        <v>513</v>
      </c>
      <c r="I968" s="248" t="s">
        <v>514</v>
      </c>
      <c r="J968" s="248" t="s">
        <v>297</v>
      </c>
      <c r="K968" s="249" t="s">
        <v>2040</v>
      </c>
      <c r="L968" s="257" t="s">
        <v>516</v>
      </c>
      <c r="M968" s="249"/>
      <c r="N968" s="249"/>
      <c r="O968" s="249"/>
      <c r="P968" s="249"/>
      <c r="Q968" s="249"/>
      <c r="R968" s="249"/>
      <c r="S968" s="249"/>
      <c r="T968" s="249"/>
      <c r="U968" s="249"/>
      <c r="V968" s="249"/>
    </row>
    <row r="969">
      <c r="A969" s="255" t="s">
        <v>2041</v>
      </c>
      <c r="B969" s="248" t="s">
        <v>1225</v>
      </c>
      <c r="C969" s="248" t="s">
        <v>746</v>
      </c>
      <c r="D969" s="248" t="s">
        <v>512</v>
      </c>
      <c r="E969" s="248">
        <v>12222.0</v>
      </c>
      <c r="F969" s="256">
        <v>44966.0</v>
      </c>
      <c r="G969" s="248">
        <v>2023.0</v>
      </c>
      <c r="H969" s="248" t="s">
        <v>513</v>
      </c>
      <c r="I969" s="248" t="s">
        <v>514</v>
      </c>
      <c r="J969" s="248" t="s">
        <v>297</v>
      </c>
      <c r="K969" s="249" t="s">
        <v>66</v>
      </c>
      <c r="L969" s="257" t="s">
        <v>516</v>
      </c>
      <c r="M969" s="249"/>
      <c r="N969" s="249"/>
      <c r="O969" s="249"/>
      <c r="P969" s="249"/>
      <c r="Q969" s="249"/>
      <c r="R969" s="249"/>
      <c r="S969" s="249"/>
      <c r="T969" s="249"/>
      <c r="U969" s="249"/>
      <c r="V969" s="249"/>
    </row>
    <row r="970">
      <c r="A970" s="255" t="s">
        <v>2042</v>
      </c>
      <c r="B970" s="248" t="s">
        <v>564</v>
      </c>
      <c r="C970" s="248" t="s">
        <v>565</v>
      </c>
      <c r="D970" s="248" t="s">
        <v>512</v>
      </c>
      <c r="E970" s="248">
        <v>1337.0</v>
      </c>
      <c r="F970" s="256">
        <v>44966.0</v>
      </c>
      <c r="G970" s="248">
        <v>2023.0</v>
      </c>
      <c r="H970" s="248" t="s">
        <v>513</v>
      </c>
      <c r="I970" s="248" t="s">
        <v>514</v>
      </c>
      <c r="J970" s="248" t="s">
        <v>297</v>
      </c>
      <c r="K970" s="249" t="s">
        <v>2043</v>
      </c>
      <c r="L970" s="257" t="s">
        <v>516</v>
      </c>
      <c r="M970" s="249"/>
      <c r="N970" s="249"/>
      <c r="O970" s="249"/>
      <c r="P970" s="249"/>
      <c r="Q970" s="249"/>
      <c r="R970" s="249"/>
      <c r="S970" s="249"/>
      <c r="T970" s="249"/>
      <c r="U970" s="249"/>
      <c r="V970" s="249"/>
    </row>
    <row r="971">
      <c r="A971" s="255" t="s">
        <v>2044</v>
      </c>
      <c r="B971" s="248" t="s">
        <v>578</v>
      </c>
      <c r="C971" s="248" t="s">
        <v>579</v>
      </c>
      <c r="D971" s="248" t="s">
        <v>575</v>
      </c>
      <c r="E971" s="248">
        <v>3909.0</v>
      </c>
      <c r="F971" s="256">
        <v>44966.0</v>
      </c>
      <c r="G971" s="248">
        <v>2023.0</v>
      </c>
      <c r="H971" s="248" t="s">
        <v>513</v>
      </c>
      <c r="I971" s="248" t="s">
        <v>514</v>
      </c>
      <c r="J971" s="248" t="s">
        <v>297</v>
      </c>
      <c r="K971" s="249" t="s">
        <v>2045</v>
      </c>
      <c r="L971" s="257" t="s">
        <v>516</v>
      </c>
      <c r="M971" s="249"/>
      <c r="N971" s="249"/>
      <c r="O971" s="249"/>
      <c r="P971" s="249"/>
      <c r="Q971" s="249"/>
      <c r="R971" s="249"/>
      <c r="S971" s="249"/>
      <c r="T971" s="249"/>
      <c r="U971" s="249"/>
      <c r="V971" s="249"/>
    </row>
    <row r="972">
      <c r="A972" s="255" t="s">
        <v>2046</v>
      </c>
      <c r="B972" s="248" t="s">
        <v>668</v>
      </c>
      <c r="C972" s="248" t="s">
        <v>669</v>
      </c>
      <c r="D972" s="248" t="s">
        <v>520</v>
      </c>
      <c r="E972" s="248">
        <v>175000.0</v>
      </c>
      <c r="F972" s="256">
        <v>44965.0</v>
      </c>
      <c r="G972" s="248">
        <v>2023.0</v>
      </c>
      <c r="H972" s="248" t="s">
        <v>513</v>
      </c>
      <c r="I972" s="248" t="s">
        <v>514</v>
      </c>
      <c r="J972" s="248" t="s">
        <v>309</v>
      </c>
      <c r="K972" s="249" t="s">
        <v>66</v>
      </c>
      <c r="L972" s="257" t="s">
        <v>516</v>
      </c>
      <c r="M972" s="249"/>
      <c r="N972" s="249"/>
      <c r="O972" s="249"/>
      <c r="P972" s="249"/>
      <c r="Q972" s="249"/>
      <c r="R972" s="249"/>
      <c r="S972" s="249"/>
      <c r="T972" s="249"/>
      <c r="U972" s="249"/>
      <c r="V972" s="249"/>
    </row>
    <row r="973">
      <c r="A973" s="255" t="s">
        <v>2047</v>
      </c>
      <c r="B973" s="248" t="s">
        <v>688</v>
      </c>
      <c r="C973" s="248" t="s">
        <v>683</v>
      </c>
      <c r="D973" s="248" t="s">
        <v>512</v>
      </c>
      <c r="E973" s="248">
        <v>14335.0</v>
      </c>
      <c r="F973" s="256">
        <v>44964.0</v>
      </c>
      <c r="G973" s="248">
        <v>2023.0</v>
      </c>
      <c r="H973" s="248" t="s">
        <v>513</v>
      </c>
      <c r="I973" s="248" t="s">
        <v>514</v>
      </c>
      <c r="J973" s="248" t="s">
        <v>297</v>
      </c>
      <c r="K973" s="249" t="s">
        <v>66</v>
      </c>
      <c r="L973" s="257" t="s">
        <v>516</v>
      </c>
      <c r="M973" s="249"/>
      <c r="N973" s="249"/>
      <c r="O973" s="249"/>
      <c r="P973" s="249"/>
      <c r="Q973" s="249"/>
      <c r="R973" s="249"/>
      <c r="S973" s="249"/>
      <c r="T973" s="249"/>
      <c r="U973" s="249"/>
      <c r="V973" s="249"/>
    </row>
    <row r="974">
      <c r="A974" s="255" t="s">
        <v>2048</v>
      </c>
      <c r="B974" s="248" t="s">
        <v>534</v>
      </c>
      <c r="C974" s="248" t="s">
        <v>535</v>
      </c>
      <c r="D974" s="248" t="s">
        <v>512</v>
      </c>
      <c r="E974" s="248">
        <v>3045.0</v>
      </c>
      <c r="F974" s="256">
        <v>44964.0</v>
      </c>
      <c r="G974" s="248">
        <v>2023.0</v>
      </c>
      <c r="H974" s="248" t="s">
        <v>513</v>
      </c>
      <c r="I974" s="248" t="s">
        <v>514</v>
      </c>
      <c r="J974" s="248" t="s">
        <v>297</v>
      </c>
      <c r="K974" s="249" t="s">
        <v>2049</v>
      </c>
      <c r="L974" s="257" t="s">
        <v>516</v>
      </c>
      <c r="M974" s="249"/>
      <c r="N974" s="249"/>
      <c r="O974" s="249"/>
      <c r="P974" s="249"/>
      <c r="Q974" s="249"/>
      <c r="R974" s="249"/>
      <c r="S974" s="249"/>
      <c r="T974" s="249"/>
      <c r="U974" s="249"/>
      <c r="V974" s="249"/>
    </row>
    <row r="975">
      <c r="A975" s="255" t="s">
        <v>2050</v>
      </c>
      <c r="B975" s="248" t="s">
        <v>924</v>
      </c>
      <c r="C975" s="248" t="s">
        <v>725</v>
      </c>
      <c r="D975" s="248" t="s">
        <v>575</v>
      </c>
      <c r="E975" s="248">
        <v>25464.0</v>
      </c>
      <c r="F975" s="256">
        <v>44963.0</v>
      </c>
      <c r="G975" s="248">
        <v>2023.0</v>
      </c>
      <c r="H975" s="248" t="s">
        <v>513</v>
      </c>
      <c r="I975" s="248" t="s">
        <v>514</v>
      </c>
      <c r="J975" s="248" t="s">
        <v>297</v>
      </c>
      <c r="K975" s="249" t="s">
        <v>2051</v>
      </c>
      <c r="L975" s="257" t="s">
        <v>516</v>
      </c>
      <c r="M975" s="249"/>
      <c r="N975" s="249"/>
      <c r="O975" s="249"/>
      <c r="P975" s="249"/>
      <c r="Q975" s="249"/>
      <c r="R975" s="249"/>
      <c r="S975" s="249"/>
      <c r="T975" s="249"/>
      <c r="U975" s="249"/>
      <c r="V975" s="249"/>
    </row>
    <row r="976">
      <c r="A976" s="255" t="s">
        <v>2052</v>
      </c>
      <c r="B976" s="248" t="s">
        <v>75</v>
      </c>
      <c r="C976" s="248" t="s">
        <v>675</v>
      </c>
      <c r="D976" s="248" t="s">
        <v>512</v>
      </c>
      <c r="E976" s="248">
        <v>7558.0</v>
      </c>
      <c r="F976" s="256">
        <v>44963.0</v>
      </c>
      <c r="G976" s="248">
        <v>2023.0</v>
      </c>
      <c r="H976" s="248" t="s">
        <v>559</v>
      </c>
      <c r="I976" s="248" t="s">
        <v>547</v>
      </c>
      <c r="J976" s="248" t="s">
        <v>297</v>
      </c>
      <c r="K976" s="249" t="s">
        <v>2053</v>
      </c>
      <c r="L976" s="257" t="s">
        <v>516</v>
      </c>
      <c r="M976" s="249"/>
      <c r="N976" s="249"/>
      <c r="O976" s="249"/>
      <c r="P976" s="249"/>
      <c r="Q976" s="249"/>
      <c r="R976" s="249"/>
      <c r="S976" s="249"/>
      <c r="T976" s="249"/>
      <c r="U976" s="249"/>
      <c r="V976" s="249"/>
    </row>
    <row r="977">
      <c r="A977" s="255" t="s">
        <v>2054</v>
      </c>
      <c r="B977" s="248" t="s">
        <v>590</v>
      </c>
      <c r="C977" s="248" t="s">
        <v>591</v>
      </c>
      <c r="D977" s="248" t="s">
        <v>512</v>
      </c>
      <c r="E977" s="248">
        <v>1618.0</v>
      </c>
      <c r="F977" s="256">
        <v>44963.0</v>
      </c>
      <c r="G977" s="248">
        <v>2023.0</v>
      </c>
      <c r="H977" s="248" t="s">
        <v>513</v>
      </c>
      <c r="I977" s="248" t="s">
        <v>521</v>
      </c>
      <c r="J977" s="248" t="s">
        <v>297</v>
      </c>
      <c r="K977" s="249" t="s">
        <v>66</v>
      </c>
      <c r="L977" s="257" t="s">
        <v>516</v>
      </c>
      <c r="M977" s="249"/>
      <c r="N977" s="249"/>
      <c r="O977" s="249"/>
      <c r="P977" s="249"/>
      <c r="Q977" s="249"/>
      <c r="R977" s="249"/>
      <c r="S977" s="249"/>
      <c r="T977" s="249"/>
      <c r="U977" s="249"/>
      <c r="V977" s="249"/>
    </row>
    <row r="978">
      <c r="A978" s="255" t="s">
        <v>2055</v>
      </c>
      <c r="B978" s="248" t="s">
        <v>586</v>
      </c>
      <c r="C978" s="248" t="s">
        <v>587</v>
      </c>
      <c r="D978" s="248" t="s">
        <v>520</v>
      </c>
      <c r="E978" s="248">
        <v>54509.0</v>
      </c>
      <c r="F978" s="256">
        <v>44960.0</v>
      </c>
      <c r="G978" s="248">
        <v>2023.0</v>
      </c>
      <c r="H978" s="248" t="s">
        <v>513</v>
      </c>
      <c r="I978" s="248" t="s">
        <v>514</v>
      </c>
      <c r="J978" s="248" t="s">
        <v>309</v>
      </c>
      <c r="K978" s="249" t="s">
        <v>2056</v>
      </c>
      <c r="L978" s="257" t="s">
        <v>516</v>
      </c>
      <c r="M978" s="249"/>
      <c r="N978" s="249"/>
      <c r="O978" s="249"/>
      <c r="P978" s="249"/>
      <c r="Q978" s="249"/>
      <c r="R978" s="249"/>
      <c r="S978" s="249"/>
      <c r="T978" s="249"/>
      <c r="U978" s="249"/>
      <c r="V978" s="249"/>
    </row>
    <row r="979">
      <c r="A979" s="255" t="s">
        <v>2057</v>
      </c>
      <c r="B979" s="248" t="s">
        <v>607</v>
      </c>
      <c r="C979" s="248" t="s">
        <v>608</v>
      </c>
      <c r="D979" s="248" t="s">
        <v>512</v>
      </c>
      <c r="E979" s="248">
        <v>433348.0</v>
      </c>
      <c r="F979" s="256">
        <v>44960.0</v>
      </c>
      <c r="G979" s="248">
        <v>2023.0</v>
      </c>
      <c r="H979" s="248" t="s">
        <v>513</v>
      </c>
      <c r="I979" s="248" t="s">
        <v>514</v>
      </c>
      <c r="J979" s="248" t="s">
        <v>297</v>
      </c>
      <c r="K979" s="249" t="s">
        <v>66</v>
      </c>
      <c r="L979" s="257" t="s">
        <v>516</v>
      </c>
      <c r="M979" s="249"/>
      <c r="N979" s="249"/>
      <c r="O979" s="249"/>
      <c r="P979" s="249"/>
      <c r="Q979" s="249"/>
      <c r="R979" s="249"/>
      <c r="S979" s="249"/>
      <c r="T979" s="249"/>
      <c r="U979" s="249"/>
      <c r="V979" s="249"/>
    </row>
    <row r="980">
      <c r="A980" s="255" t="s">
        <v>2058</v>
      </c>
      <c r="B980" s="248" t="s">
        <v>727</v>
      </c>
      <c r="C980" s="248" t="s">
        <v>658</v>
      </c>
      <c r="D980" s="248" t="s">
        <v>512</v>
      </c>
      <c r="E980" s="248">
        <v>1435.0</v>
      </c>
      <c r="F980" s="256">
        <v>44960.0</v>
      </c>
      <c r="G980" s="248">
        <v>2023.0</v>
      </c>
      <c r="H980" s="248" t="s">
        <v>513</v>
      </c>
      <c r="I980" s="248" t="s">
        <v>521</v>
      </c>
      <c r="J980" s="248" t="s">
        <v>297</v>
      </c>
      <c r="K980" s="249" t="s">
        <v>2059</v>
      </c>
      <c r="L980" s="257" t="s">
        <v>516</v>
      </c>
      <c r="M980" s="249"/>
      <c r="N980" s="249"/>
      <c r="O980" s="249"/>
      <c r="P980" s="249"/>
      <c r="Q980" s="249"/>
      <c r="R980" s="249"/>
      <c r="S980" s="249"/>
      <c r="T980" s="249"/>
      <c r="U980" s="249"/>
      <c r="V980" s="249"/>
    </row>
    <row r="981">
      <c r="A981" s="255" t="s">
        <v>2060</v>
      </c>
      <c r="B981" s="248" t="s">
        <v>518</v>
      </c>
      <c r="C981" s="248" t="s">
        <v>519</v>
      </c>
      <c r="D981" s="248" t="s">
        <v>512</v>
      </c>
      <c r="E981" s="248">
        <v>3840.0</v>
      </c>
      <c r="F981" s="256">
        <v>44960.0</v>
      </c>
      <c r="G981" s="248">
        <v>2023.0</v>
      </c>
      <c r="H981" s="248" t="s">
        <v>513</v>
      </c>
      <c r="I981" s="248" t="s">
        <v>521</v>
      </c>
      <c r="J981" s="248" t="s">
        <v>297</v>
      </c>
      <c r="K981" s="249" t="s">
        <v>2061</v>
      </c>
      <c r="L981" s="257" t="s">
        <v>516</v>
      </c>
      <c r="M981" s="249"/>
      <c r="N981" s="249"/>
      <c r="O981" s="249"/>
      <c r="P981" s="249"/>
      <c r="Q981" s="249"/>
      <c r="R981" s="249"/>
      <c r="S981" s="249"/>
      <c r="T981" s="249"/>
      <c r="U981" s="249"/>
      <c r="V981" s="249"/>
    </row>
    <row r="982">
      <c r="A982" s="255" t="s">
        <v>2062</v>
      </c>
      <c r="B982" s="248" t="s">
        <v>894</v>
      </c>
      <c r="C982" s="248" t="s">
        <v>639</v>
      </c>
      <c r="D982" s="248" t="s">
        <v>512</v>
      </c>
      <c r="E982" s="248">
        <v>5327.0</v>
      </c>
      <c r="F982" s="256">
        <v>44959.0</v>
      </c>
      <c r="G982" s="248">
        <v>2023.0</v>
      </c>
      <c r="H982" s="248" t="s">
        <v>513</v>
      </c>
      <c r="I982" s="248" t="s">
        <v>514</v>
      </c>
      <c r="J982" s="248" t="s">
        <v>297</v>
      </c>
      <c r="K982" s="249" t="s">
        <v>2063</v>
      </c>
      <c r="L982" s="257" t="s">
        <v>516</v>
      </c>
      <c r="M982" s="249"/>
      <c r="N982" s="249"/>
      <c r="O982" s="249"/>
      <c r="P982" s="249"/>
      <c r="Q982" s="249"/>
      <c r="R982" s="249"/>
      <c r="S982" s="249"/>
      <c r="T982" s="249"/>
      <c r="U982" s="249"/>
      <c r="V982" s="249"/>
    </row>
    <row r="983">
      <c r="A983" s="255" t="s">
        <v>2064</v>
      </c>
      <c r="B983" s="248" t="s">
        <v>518</v>
      </c>
      <c r="C983" s="248" t="s">
        <v>519</v>
      </c>
      <c r="D983" s="248" t="s">
        <v>512</v>
      </c>
      <c r="E983" s="248">
        <v>1277.0</v>
      </c>
      <c r="F983" s="256">
        <v>44958.0</v>
      </c>
      <c r="G983" s="248">
        <v>2023.0</v>
      </c>
      <c r="H983" s="248" t="s">
        <v>513</v>
      </c>
      <c r="I983" s="248" t="s">
        <v>514</v>
      </c>
      <c r="J983" s="248" t="s">
        <v>297</v>
      </c>
      <c r="K983" s="249" t="s">
        <v>2065</v>
      </c>
      <c r="L983" s="257" t="s">
        <v>516</v>
      </c>
      <c r="M983" s="249"/>
      <c r="N983" s="249"/>
      <c r="O983" s="249"/>
      <c r="P983" s="249"/>
      <c r="Q983" s="249"/>
      <c r="R983" s="249"/>
      <c r="S983" s="249"/>
      <c r="T983" s="249"/>
      <c r="U983" s="249"/>
      <c r="V983" s="249"/>
    </row>
    <row r="984">
      <c r="A984" s="255" t="s">
        <v>2066</v>
      </c>
      <c r="B984" s="248" t="s">
        <v>518</v>
      </c>
      <c r="C984" s="248" t="s">
        <v>519</v>
      </c>
      <c r="D984" s="248" t="s">
        <v>512</v>
      </c>
      <c r="E984" s="248">
        <v>10978.0</v>
      </c>
      <c r="F984" s="256">
        <v>44958.0</v>
      </c>
      <c r="G984" s="248">
        <v>2023.0</v>
      </c>
      <c r="H984" s="248" t="s">
        <v>513</v>
      </c>
      <c r="I984" s="248" t="s">
        <v>514</v>
      </c>
      <c r="J984" s="248" t="s">
        <v>297</v>
      </c>
      <c r="K984" s="249" t="s">
        <v>66</v>
      </c>
      <c r="L984" s="257" t="s">
        <v>516</v>
      </c>
      <c r="M984" s="249"/>
      <c r="N984" s="249"/>
      <c r="O984" s="249"/>
      <c r="P984" s="249"/>
      <c r="Q984" s="249"/>
      <c r="R984" s="249"/>
      <c r="S984" s="249"/>
      <c r="T984" s="249"/>
      <c r="U984" s="249"/>
      <c r="V984" s="249"/>
    </row>
    <row r="985">
      <c r="A985" s="255" t="s">
        <v>2067</v>
      </c>
      <c r="B985" s="248" t="s">
        <v>530</v>
      </c>
      <c r="C985" s="248" t="s">
        <v>531</v>
      </c>
      <c r="D985" s="248" t="s">
        <v>512</v>
      </c>
      <c r="E985" s="248">
        <v>3388856.0</v>
      </c>
      <c r="F985" s="256">
        <v>44958.0</v>
      </c>
      <c r="G985" s="248">
        <v>2023.0</v>
      </c>
      <c r="H985" s="248" t="s">
        <v>513</v>
      </c>
      <c r="I985" s="248" t="s">
        <v>514</v>
      </c>
      <c r="J985" s="248" t="s">
        <v>297</v>
      </c>
      <c r="K985" s="249" t="s">
        <v>66</v>
      </c>
      <c r="L985" s="257" t="s">
        <v>516</v>
      </c>
      <c r="M985" s="249"/>
      <c r="N985" s="249"/>
      <c r="O985" s="249"/>
      <c r="P985" s="249"/>
      <c r="Q985" s="249"/>
      <c r="R985" s="249"/>
      <c r="S985" s="249"/>
      <c r="T985" s="249"/>
      <c r="U985" s="249"/>
      <c r="V985" s="249"/>
    </row>
    <row r="986">
      <c r="A986" s="255" t="s">
        <v>2068</v>
      </c>
      <c r="B986" s="248" t="s">
        <v>542</v>
      </c>
      <c r="C986" s="248" t="s">
        <v>543</v>
      </c>
      <c r="D986" s="248" t="s">
        <v>512</v>
      </c>
      <c r="E986" s="248">
        <v>1554.0</v>
      </c>
      <c r="F986" s="256">
        <v>44957.0</v>
      </c>
      <c r="G986" s="248">
        <v>2023.0</v>
      </c>
      <c r="H986" s="248" t="s">
        <v>546</v>
      </c>
      <c r="I986" s="248" t="s">
        <v>514</v>
      </c>
      <c r="J986" s="248" t="s">
        <v>297</v>
      </c>
      <c r="K986" s="249" t="s">
        <v>66</v>
      </c>
      <c r="L986" s="257" t="s">
        <v>516</v>
      </c>
      <c r="M986" s="249"/>
      <c r="N986" s="249"/>
      <c r="O986" s="249"/>
      <c r="P986" s="249"/>
      <c r="Q986" s="249"/>
      <c r="R986" s="249"/>
      <c r="S986" s="249"/>
      <c r="T986" s="249"/>
      <c r="U986" s="249"/>
      <c r="V986" s="249"/>
    </row>
    <row r="987">
      <c r="A987" s="255" t="s">
        <v>2069</v>
      </c>
      <c r="B987" s="248" t="s">
        <v>590</v>
      </c>
      <c r="C987" s="248" t="s">
        <v>591</v>
      </c>
      <c r="D987" s="248" t="s">
        <v>512</v>
      </c>
      <c r="E987" s="248">
        <v>10000.0</v>
      </c>
      <c r="F987" s="256">
        <v>44953.0</v>
      </c>
      <c r="G987" s="248">
        <v>2023.0</v>
      </c>
      <c r="H987" s="248" t="s">
        <v>513</v>
      </c>
      <c r="I987" s="248" t="s">
        <v>514</v>
      </c>
      <c r="J987" s="248" t="s">
        <v>297</v>
      </c>
      <c r="K987" s="249" t="s">
        <v>66</v>
      </c>
      <c r="L987" s="257" t="s">
        <v>516</v>
      </c>
      <c r="M987" s="249"/>
      <c r="N987" s="249"/>
      <c r="O987" s="249"/>
      <c r="P987" s="249"/>
      <c r="Q987" s="249"/>
      <c r="R987" s="249"/>
      <c r="S987" s="249"/>
      <c r="T987" s="249"/>
      <c r="U987" s="249"/>
      <c r="V987" s="249"/>
    </row>
    <row r="988">
      <c r="A988" s="255" t="s">
        <v>2070</v>
      </c>
      <c r="B988" s="248" t="s">
        <v>586</v>
      </c>
      <c r="C988" s="248" t="s">
        <v>587</v>
      </c>
      <c r="D988" s="248" t="s">
        <v>520</v>
      </c>
      <c r="E988" s="248">
        <v>6465.0</v>
      </c>
      <c r="F988" s="256">
        <v>44953.0</v>
      </c>
      <c r="G988" s="248">
        <v>2023.0</v>
      </c>
      <c r="H988" s="248" t="s">
        <v>513</v>
      </c>
      <c r="I988" s="248" t="s">
        <v>514</v>
      </c>
      <c r="J988" s="248" t="s">
        <v>309</v>
      </c>
      <c r="K988" s="249" t="s">
        <v>66</v>
      </c>
      <c r="L988" s="257" t="s">
        <v>516</v>
      </c>
      <c r="M988" s="249"/>
      <c r="N988" s="249"/>
      <c r="O988" s="249"/>
      <c r="P988" s="249"/>
      <c r="Q988" s="249"/>
      <c r="R988" s="249"/>
      <c r="S988" s="249"/>
      <c r="T988" s="249"/>
      <c r="U988" s="249"/>
      <c r="V988" s="249"/>
    </row>
    <row r="989">
      <c r="A989" s="255" t="s">
        <v>2071</v>
      </c>
      <c r="B989" s="248" t="s">
        <v>679</v>
      </c>
      <c r="C989" s="248" t="s">
        <v>663</v>
      </c>
      <c r="D989" s="248" t="s">
        <v>512</v>
      </c>
      <c r="E989" s="248">
        <v>50000.0</v>
      </c>
      <c r="F989" s="256">
        <v>44953.0</v>
      </c>
      <c r="G989" s="248">
        <v>2023.0</v>
      </c>
      <c r="H989" s="248" t="s">
        <v>513</v>
      </c>
      <c r="I989" s="248" t="s">
        <v>618</v>
      </c>
      <c r="J989" s="248" t="s">
        <v>297</v>
      </c>
      <c r="K989" s="249" t="s">
        <v>2072</v>
      </c>
      <c r="L989" s="257" t="s">
        <v>516</v>
      </c>
      <c r="M989" s="249"/>
      <c r="N989" s="249"/>
      <c r="O989" s="249"/>
      <c r="P989" s="249"/>
      <c r="Q989" s="249"/>
      <c r="R989" s="249"/>
      <c r="S989" s="249"/>
      <c r="T989" s="249"/>
      <c r="U989" s="249"/>
      <c r="V989" s="249"/>
    </row>
    <row r="990">
      <c r="A990" s="255" t="s">
        <v>2073</v>
      </c>
      <c r="B990" s="248" t="s">
        <v>611</v>
      </c>
      <c r="C990" s="248" t="s">
        <v>612</v>
      </c>
      <c r="D990" s="248" t="s">
        <v>520</v>
      </c>
      <c r="E990" s="248">
        <v>29119.0</v>
      </c>
      <c r="F990" s="256">
        <v>44953.0</v>
      </c>
      <c r="G990" s="248">
        <v>2023.0</v>
      </c>
      <c r="H990" s="248" t="s">
        <v>513</v>
      </c>
      <c r="I990" s="248" t="s">
        <v>521</v>
      </c>
      <c r="J990" s="248" t="s">
        <v>309</v>
      </c>
      <c r="K990" s="249" t="s">
        <v>2074</v>
      </c>
      <c r="L990" s="257" t="s">
        <v>516</v>
      </c>
      <c r="M990" s="249"/>
      <c r="N990" s="249"/>
      <c r="O990" s="249"/>
      <c r="P990" s="249"/>
      <c r="Q990" s="249"/>
      <c r="R990" s="249"/>
      <c r="S990" s="249"/>
      <c r="T990" s="249"/>
      <c r="U990" s="249"/>
      <c r="V990" s="249"/>
    </row>
    <row r="991">
      <c r="A991" s="255" t="s">
        <v>2075</v>
      </c>
      <c r="B991" s="248" t="s">
        <v>530</v>
      </c>
      <c r="C991" s="248" t="s">
        <v>531</v>
      </c>
      <c r="D991" s="248" t="s">
        <v>512</v>
      </c>
      <c r="E991" s="248">
        <v>115241.0</v>
      </c>
      <c r="F991" s="256">
        <v>44953.0</v>
      </c>
      <c r="G991" s="248">
        <v>2023.0</v>
      </c>
      <c r="H991" s="248" t="s">
        <v>513</v>
      </c>
      <c r="I991" s="248" t="s">
        <v>514</v>
      </c>
      <c r="J991" s="248" t="s">
        <v>297</v>
      </c>
      <c r="K991" s="249" t="s">
        <v>2076</v>
      </c>
      <c r="L991" s="257" t="s">
        <v>516</v>
      </c>
      <c r="M991" s="249"/>
      <c r="N991" s="249"/>
      <c r="O991" s="249"/>
      <c r="P991" s="249"/>
      <c r="Q991" s="249"/>
      <c r="R991" s="249"/>
      <c r="S991" s="249"/>
      <c r="T991" s="249"/>
      <c r="U991" s="249"/>
      <c r="V991" s="249"/>
    </row>
    <row r="992">
      <c r="A992" s="255" t="s">
        <v>2077</v>
      </c>
      <c r="B992" s="248" t="s">
        <v>553</v>
      </c>
      <c r="C992" s="248" t="s">
        <v>554</v>
      </c>
      <c r="D992" s="248" t="s">
        <v>512</v>
      </c>
      <c r="E992" s="248">
        <v>53668.0</v>
      </c>
      <c r="F992" s="256">
        <v>44953.0</v>
      </c>
      <c r="G992" s="248">
        <v>2023.0</v>
      </c>
      <c r="H992" s="248" t="s">
        <v>513</v>
      </c>
      <c r="I992" s="248" t="s">
        <v>514</v>
      </c>
      <c r="J992" s="248" t="s">
        <v>297</v>
      </c>
      <c r="K992" s="249" t="s">
        <v>2078</v>
      </c>
      <c r="L992" s="257" t="s">
        <v>516</v>
      </c>
      <c r="M992" s="249"/>
      <c r="N992" s="249"/>
      <c r="O992" s="249"/>
      <c r="P992" s="249"/>
      <c r="Q992" s="249"/>
      <c r="R992" s="249"/>
      <c r="S992" s="249"/>
      <c r="T992" s="249"/>
      <c r="U992" s="249"/>
      <c r="V992" s="249"/>
    </row>
    <row r="993">
      <c r="A993" s="255" t="s">
        <v>2079</v>
      </c>
      <c r="B993" s="248" t="s">
        <v>530</v>
      </c>
      <c r="C993" s="248" t="s">
        <v>531</v>
      </c>
      <c r="D993" s="248" t="s">
        <v>512</v>
      </c>
      <c r="E993" s="248">
        <v>2674.0</v>
      </c>
      <c r="F993" s="256">
        <v>44951.0</v>
      </c>
      <c r="G993" s="248">
        <v>2023.0</v>
      </c>
      <c r="H993" s="248" t="s">
        <v>551</v>
      </c>
      <c r="I993" s="248" t="s">
        <v>707</v>
      </c>
      <c r="J993" s="248" t="s">
        <v>297</v>
      </c>
      <c r="K993" s="249" t="s">
        <v>2080</v>
      </c>
      <c r="L993" s="257" t="s">
        <v>516</v>
      </c>
      <c r="M993" s="249"/>
      <c r="N993" s="249"/>
      <c r="O993" s="249"/>
      <c r="P993" s="249"/>
      <c r="Q993" s="249"/>
      <c r="R993" s="249"/>
      <c r="S993" s="249"/>
      <c r="T993" s="249"/>
      <c r="U993" s="249"/>
      <c r="V993" s="249"/>
    </row>
    <row r="994">
      <c r="A994" s="255" t="s">
        <v>2081</v>
      </c>
      <c r="B994" s="248" t="s">
        <v>564</v>
      </c>
      <c r="C994" s="248" t="s">
        <v>565</v>
      </c>
      <c r="D994" s="248" t="s">
        <v>512</v>
      </c>
      <c r="E994" s="248">
        <v>2555.0</v>
      </c>
      <c r="F994" s="256">
        <v>44949.0</v>
      </c>
      <c r="G994" s="248">
        <v>2023.0</v>
      </c>
      <c r="H994" s="248" t="s">
        <v>546</v>
      </c>
      <c r="I994" s="248" t="s">
        <v>547</v>
      </c>
      <c r="J994" s="248" t="s">
        <v>309</v>
      </c>
      <c r="K994" s="249" t="s">
        <v>2082</v>
      </c>
      <c r="L994" s="257" t="s">
        <v>516</v>
      </c>
      <c r="M994" s="249"/>
      <c r="N994" s="249"/>
      <c r="O994" s="249"/>
      <c r="P994" s="249"/>
      <c r="Q994" s="249"/>
      <c r="R994" s="249"/>
      <c r="S994" s="249"/>
      <c r="T994" s="249"/>
      <c r="U994" s="249"/>
      <c r="V994" s="249"/>
    </row>
    <row r="995">
      <c r="A995" s="255" t="s">
        <v>2083</v>
      </c>
      <c r="B995" s="248" t="s">
        <v>705</v>
      </c>
      <c r="C995" s="248" t="s">
        <v>706</v>
      </c>
      <c r="D995" s="248" t="s">
        <v>575</v>
      </c>
      <c r="E995" s="248">
        <v>15206.0</v>
      </c>
      <c r="F995" s="256">
        <v>44946.0</v>
      </c>
      <c r="G995" s="248">
        <v>2023.0</v>
      </c>
      <c r="H995" s="248" t="s">
        <v>546</v>
      </c>
      <c r="I995" s="248" t="s">
        <v>514</v>
      </c>
      <c r="J995" s="248" t="s">
        <v>297</v>
      </c>
      <c r="K995" s="249" t="s">
        <v>2084</v>
      </c>
      <c r="L995" s="257" t="s">
        <v>516</v>
      </c>
      <c r="M995" s="249"/>
      <c r="N995" s="249"/>
      <c r="O995" s="249"/>
      <c r="P995" s="249"/>
      <c r="Q995" s="249"/>
      <c r="R995" s="249"/>
      <c r="S995" s="249"/>
      <c r="T995" s="249"/>
      <c r="U995" s="249"/>
      <c r="V995" s="249"/>
    </row>
    <row r="996">
      <c r="A996" s="255" t="s">
        <v>2085</v>
      </c>
      <c r="B996" s="248" t="s">
        <v>607</v>
      </c>
      <c r="C996" s="248" t="s">
        <v>608</v>
      </c>
      <c r="D996" s="248" t="s">
        <v>512</v>
      </c>
      <c r="E996" s="248">
        <v>2530.0</v>
      </c>
      <c r="F996" s="256">
        <v>44946.0</v>
      </c>
      <c r="G996" s="248">
        <v>2023.0</v>
      </c>
      <c r="H996" s="248" t="s">
        <v>546</v>
      </c>
      <c r="I996" s="248" t="s">
        <v>561</v>
      </c>
      <c r="J996" s="248" t="s">
        <v>297</v>
      </c>
      <c r="K996" s="249" t="s">
        <v>2086</v>
      </c>
      <c r="L996" s="257" t="s">
        <v>516</v>
      </c>
      <c r="M996" s="249"/>
      <c r="N996" s="249"/>
      <c r="O996" s="249"/>
      <c r="P996" s="249"/>
      <c r="Q996" s="249"/>
      <c r="R996" s="249"/>
      <c r="S996" s="249"/>
      <c r="T996" s="249"/>
      <c r="U996" s="249"/>
      <c r="V996" s="249"/>
    </row>
    <row r="997">
      <c r="A997" s="255" t="s">
        <v>2087</v>
      </c>
      <c r="B997" s="248" t="s">
        <v>530</v>
      </c>
      <c r="C997" s="248" t="s">
        <v>531</v>
      </c>
      <c r="D997" s="248" t="s">
        <v>512</v>
      </c>
      <c r="E997" s="248">
        <v>3780.0</v>
      </c>
      <c r="F997" s="256">
        <v>44945.0</v>
      </c>
      <c r="G997" s="248">
        <v>2023.0</v>
      </c>
      <c r="H997" s="248" t="s">
        <v>546</v>
      </c>
      <c r="I997" s="248" t="s">
        <v>561</v>
      </c>
      <c r="J997" s="248" t="s">
        <v>297</v>
      </c>
      <c r="K997" s="249" t="s">
        <v>2088</v>
      </c>
      <c r="L997" s="257" t="s">
        <v>516</v>
      </c>
      <c r="M997" s="249"/>
      <c r="N997" s="249"/>
      <c r="O997" s="249"/>
      <c r="P997" s="249"/>
      <c r="Q997" s="249"/>
      <c r="R997" s="249"/>
      <c r="S997" s="249"/>
      <c r="T997" s="249"/>
      <c r="U997" s="249"/>
      <c r="V997" s="249"/>
    </row>
    <row r="998">
      <c r="A998" s="255" t="s">
        <v>2089</v>
      </c>
      <c r="B998" s="248" t="s">
        <v>530</v>
      </c>
      <c r="C998" s="248" t="s">
        <v>531</v>
      </c>
      <c r="D998" s="248" t="s">
        <v>575</v>
      </c>
      <c r="E998" s="248">
        <v>4032.0</v>
      </c>
      <c r="F998" s="256">
        <v>44944.0</v>
      </c>
      <c r="G998" s="248">
        <v>2023.0</v>
      </c>
      <c r="H998" s="248" t="s">
        <v>513</v>
      </c>
      <c r="I998" s="248" t="s">
        <v>514</v>
      </c>
      <c r="J998" s="248" t="s">
        <v>309</v>
      </c>
      <c r="K998" s="249" t="s">
        <v>2090</v>
      </c>
      <c r="L998" s="257" t="s">
        <v>516</v>
      </c>
      <c r="M998" s="249"/>
      <c r="N998" s="249"/>
      <c r="O998" s="249"/>
      <c r="P998" s="249"/>
      <c r="Q998" s="249"/>
      <c r="R998" s="249"/>
      <c r="S998" s="249"/>
      <c r="T998" s="249"/>
      <c r="U998" s="249"/>
      <c r="V998" s="249"/>
    </row>
    <row r="999">
      <c r="A999" s="255" t="s">
        <v>2091</v>
      </c>
      <c r="B999" s="248" t="s">
        <v>530</v>
      </c>
      <c r="C999" s="248" t="s">
        <v>531</v>
      </c>
      <c r="D999" s="248" t="s">
        <v>520</v>
      </c>
      <c r="E999" s="248">
        <v>88923.0</v>
      </c>
      <c r="F999" s="256">
        <v>44943.0</v>
      </c>
      <c r="G999" s="248">
        <v>2023.0</v>
      </c>
      <c r="H999" s="248" t="s">
        <v>546</v>
      </c>
      <c r="I999" s="248" t="s">
        <v>514</v>
      </c>
      <c r="J999" s="248" t="s">
        <v>309</v>
      </c>
      <c r="K999" s="249" t="s">
        <v>2092</v>
      </c>
      <c r="L999" s="257" t="s">
        <v>516</v>
      </c>
      <c r="M999" s="249"/>
      <c r="N999" s="249"/>
      <c r="O999" s="249"/>
      <c r="P999" s="249"/>
      <c r="Q999" s="249"/>
      <c r="R999" s="249"/>
      <c r="S999" s="249"/>
      <c r="T999" s="249"/>
      <c r="U999" s="249"/>
      <c r="V999" s="249"/>
    </row>
    <row r="1000">
      <c r="A1000" s="255" t="s">
        <v>2093</v>
      </c>
      <c r="B1000" s="248" t="s">
        <v>727</v>
      </c>
      <c r="C1000" s="248" t="s">
        <v>658</v>
      </c>
      <c r="D1000" s="248" t="s">
        <v>512</v>
      </c>
      <c r="E1000" s="248">
        <v>49881.0</v>
      </c>
      <c r="F1000" s="256">
        <v>44943.0</v>
      </c>
      <c r="G1000" s="248">
        <v>2023.0</v>
      </c>
      <c r="H1000" s="248" t="s">
        <v>513</v>
      </c>
      <c r="I1000" s="248" t="s">
        <v>514</v>
      </c>
      <c r="J1000" s="248" t="s">
        <v>309</v>
      </c>
      <c r="K1000" s="249" t="s">
        <v>2094</v>
      </c>
      <c r="L1000" s="257" t="s">
        <v>516</v>
      </c>
      <c r="M1000" s="249"/>
      <c r="N1000" s="249"/>
      <c r="O1000" s="249"/>
      <c r="P1000" s="249"/>
      <c r="Q1000" s="249"/>
      <c r="R1000" s="249"/>
      <c r="S1000" s="249"/>
      <c r="T1000" s="249"/>
      <c r="U1000" s="249"/>
      <c r="V1000" s="249"/>
    </row>
    <row r="1001">
      <c r="A1001" s="255" t="s">
        <v>2095</v>
      </c>
      <c r="B1001" s="248" t="s">
        <v>538</v>
      </c>
      <c r="C1001" s="248" t="s">
        <v>539</v>
      </c>
      <c r="D1001" s="248" t="s">
        <v>520</v>
      </c>
      <c r="E1001" s="248">
        <v>1237.0</v>
      </c>
      <c r="F1001" s="256">
        <v>44939.0</v>
      </c>
      <c r="G1001" s="248">
        <v>2023.0</v>
      </c>
      <c r="H1001" s="248" t="s">
        <v>546</v>
      </c>
      <c r="I1001" s="248" t="s">
        <v>514</v>
      </c>
      <c r="J1001" s="248" t="s">
        <v>309</v>
      </c>
      <c r="K1001" s="249" t="s">
        <v>2096</v>
      </c>
      <c r="L1001" s="257" t="s">
        <v>516</v>
      </c>
      <c r="M1001" s="249"/>
      <c r="N1001" s="249"/>
      <c r="O1001" s="249"/>
      <c r="P1001" s="249"/>
      <c r="Q1001" s="249"/>
      <c r="R1001" s="249"/>
      <c r="S1001" s="249"/>
      <c r="T1001" s="249"/>
      <c r="U1001" s="249"/>
      <c r="V1001" s="249"/>
    </row>
    <row r="1002">
      <c r="A1002" s="255" t="s">
        <v>2097</v>
      </c>
      <c r="B1002" s="248" t="s">
        <v>564</v>
      </c>
      <c r="C1002" s="248" t="s">
        <v>565</v>
      </c>
      <c r="D1002" s="248" t="s">
        <v>575</v>
      </c>
      <c r="E1002" s="248">
        <v>3039.0</v>
      </c>
      <c r="F1002" s="256">
        <v>44939.0</v>
      </c>
      <c r="G1002" s="248">
        <v>2023.0</v>
      </c>
      <c r="H1002" s="248" t="s">
        <v>513</v>
      </c>
      <c r="I1002" s="248" t="s">
        <v>521</v>
      </c>
      <c r="J1002" s="248" t="s">
        <v>297</v>
      </c>
      <c r="K1002" s="249" t="s">
        <v>2098</v>
      </c>
      <c r="L1002" s="257" t="s">
        <v>516</v>
      </c>
      <c r="M1002" s="249"/>
      <c r="N1002" s="249"/>
      <c r="O1002" s="249"/>
      <c r="P1002" s="249"/>
      <c r="Q1002" s="249"/>
      <c r="R1002" s="249"/>
      <c r="S1002" s="249"/>
      <c r="T1002" s="249"/>
      <c r="U1002" s="249"/>
      <c r="V1002" s="249"/>
    </row>
    <row r="1003">
      <c r="A1003" s="255" t="s">
        <v>2030</v>
      </c>
      <c r="B1003" s="248" t="s">
        <v>748</v>
      </c>
      <c r="C1003" s="248" t="s">
        <v>694</v>
      </c>
      <c r="D1003" s="248" t="s">
        <v>520</v>
      </c>
      <c r="E1003" s="248">
        <v>11595.0</v>
      </c>
      <c r="F1003" s="256">
        <v>44939.0</v>
      </c>
      <c r="G1003" s="248">
        <v>2023.0</v>
      </c>
      <c r="H1003" s="248" t="s">
        <v>513</v>
      </c>
      <c r="I1003" s="248" t="s">
        <v>514</v>
      </c>
      <c r="J1003" s="248" t="s">
        <v>309</v>
      </c>
      <c r="K1003" s="249" t="s">
        <v>2099</v>
      </c>
      <c r="L1003" s="257" t="s">
        <v>516</v>
      </c>
      <c r="M1003" s="249"/>
      <c r="N1003" s="249"/>
      <c r="O1003" s="249"/>
      <c r="P1003" s="249"/>
      <c r="Q1003" s="249"/>
      <c r="R1003" s="249"/>
      <c r="S1003" s="249"/>
      <c r="T1003" s="249"/>
      <c r="U1003" s="249"/>
      <c r="V1003" s="249"/>
    </row>
    <row r="1004">
      <c r="A1004" s="255" t="s">
        <v>2100</v>
      </c>
      <c r="B1004" s="248" t="s">
        <v>878</v>
      </c>
      <c r="C1004" s="248" t="s">
        <v>643</v>
      </c>
      <c r="D1004" s="248" t="s">
        <v>512</v>
      </c>
      <c r="E1004" s="248">
        <v>115940.0</v>
      </c>
      <c r="F1004" s="256">
        <v>44939.0</v>
      </c>
      <c r="G1004" s="248">
        <v>2023.0</v>
      </c>
      <c r="H1004" s="248" t="s">
        <v>513</v>
      </c>
      <c r="I1004" s="248" t="s">
        <v>514</v>
      </c>
      <c r="J1004" s="248" t="s">
        <v>297</v>
      </c>
      <c r="K1004" s="249" t="s">
        <v>2101</v>
      </c>
      <c r="L1004" s="257" t="s">
        <v>516</v>
      </c>
      <c r="M1004" s="249"/>
      <c r="N1004" s="249"/>
      <c r="O1004" s="249"/>
      <c r="P1004" s="249"/>
      <c r="Q1004" s="249"/>
      <c r="R1004" s="249"/>
      <c r="S1004" s="249"/>
      <c r="T1004" s="249"/>
      <c r="U1004" s="249"/>
      <c r="V1004" s="249"/>
    </row>
    <row r="1005">
      <c r="A1005" s="255" t="s">
        <v>2102</v>
      </c>
      <c r="B1005" s="248" t="s">
        <v>679</v>
      </c>
      <c r="C1005" s="248" t="s">
        <v>663</v>
      </c>
      <c r="D1005" s="248" t="s">
        <v>512</v>
      </c>
      <c r="E1005" s="248">
        <v>125981.0</v>
      </c>
      <c r="F1005" s="256">
        <v>44938.0</v>
      </c>
      <c r="G1005" s="248">
        <v>2023.0</v>
      </c>
      <c r="H1005" s="248" t="s">
        <v>513</v>
      </c>
      <c r="I1005" s="248" t="s">
        <v>514</v>
      </c>
      <c r="J1005" s="248" t="s">
        <v>297</v>
      </c>
      <c r="K1005" s="249" t="s">
        <v>66</v>
      </c>
      <c r="L1005" s="257" t="s">
        <v>516</v>
      </c>
      <c r="M1005" s="249"/>
      <c r="N1005" s="249"/>
      <c r="O1005" s="249"/>
      <c r="P1005" s="249"/>
      <c r="Q1005" s="249"/>
      <c r="R1005" s="249"/>
      <c r="S1005" s="249"/>
      <c r="T1005" s="249"/>
      <c r="U1005" s="249"/>
      <c r="V1005" s="249"/>
    </row>
    <row r="1006">
      <c r="A1006" s="255" t="s">
        <v>2103</v>
      </c>
      <c r="B1006" s="248" t="s">
        <v>530</v>
      </c>
      <c r="C1006" s="248" t="s">
        <v>531</v>
      </c>
      <c r="D1006" s="248" t="s">
        <v>512</v>
      </c>
      <c r="E1006" s="248">
        <v>7528.0</v>
      </c>
      <c r="F1006" s="256">
        <v>44938.0</v>
      </c>
      <c r="G1006" s="248">
        <v>2023.0</v>
      </c>
      <c r="H1006" s="248" t="s">
        <v>513</v>
      </c>
      <c r="I1006" s="248" t="s">
        <v>514</v>
      </c>
      <c r="J1006" s="248" t="s">
        <v>297</v>
      </c>
      <c r="K1006" s="249" t="s">
        <v>2104</v>
      </c>
      <c r="L1006" s="257" t="s">
        <v>516</v>
      </c>
      <c r="M1006" s="249"/>
      <c r="N1006" s="249"/>
      <c r="O1006" s="249"/>
      <c r="P1006" s="249"/>
      <c r="Q1006" s="249"/>
      <c r="R1006" s="249"/>
      <c r="S1006" s="249"/>
      <c r="T1006" s="249"/>
      <c r="U1006" s="249"/>
      <c r="V1006" s="249"/>
    </row>
    <row r="1007">
      <c r="A1007" s="255" t="s">
        <v>2105</v>
      </c>
      <c r="B1007" s="248" t="s">
        <v>530</v>
      </c>
      <c r="C1007" s="248" t="s">
        <v>531</v>
      </c>
      <c r="D1007" s="248" t="s">
        <v>512</v>
      </c>
      <c r="E1007" s="248">
        <v>94000.0</v>
      </c>
      <c r="F1007" s="256">
        <v>44938.0</v>
      </c>
      <c r="G1007" s="248">
        <v>2023.0</v>
      </c>
      <c r="H1007" s="248" t="s">
        <v>546</v>
      </c>
      <c r="I1007" s="248" t="s">
        <v>514</v>
      </c>
      <c r="J1007" s="248" t="s">
        <v>297</v>
      </c>
      <c r="K1007" s="249" t="s">
        <v>2106</v>
      </c>
      <c r="L1007" s="257" t="s">
        <v>516</v>
      </c>
      <c r="M1007" s="249"/>
      <c r="N1007" s="249"/>
      <c r="O1007" s="249"/>
      <c r="P1007" s="249"/>
      <c r="Q1007" s="249"/>
      <c r="R1007" s="249"/>
      <c r="S1007" s="249"/>
      <c r="T1007" s="249"/>
      <c r="U1007" s="249"/>
      <c r="V1007" s="249"/>
    </row>
    <row r="1008">
      <c r="A1008" s="255" t="s">
        <v>1057</v>
      </c>
      <c r="B1008" s="248" t="s">
        <v>641</v>
      </c>
      <c r="C1008" s="248" t="s">
        <v>633</v>
      </c>
      <c r="D1008" s="248" t="s">
        <v>575</v>
      </c>
      <c r="E1008" s="248">
        <v>4307.0</v>
      </c>
      <c r="F1008" s="256">
        <v>44937.0</v>
      </c>
      <c r="G1008" s="248">
        <v>2023.0</v>
      </c>
      <c r="H1008" s="248" t="s">
        <v>546</v>
      </c>
      <c r="I1008" s="248" t="s">
        <v>521</v>
      </c>
      <c r="J1008" s="248" t="s">
        <v>297</v>
      </c>
      <c r="K1008" s="249" t="s">
        <v>2107</v>
      </c>
      <c r="L1008" s="257" t="s">
        <v>516</v>
      </c>
      <c r="M1008" s="249"/>
      <c r="N1008" s="249"/>
      <c r="O1008" s="249"/>
      <c r="P1008" s="249"/>
      <c r="Q1008" s="249"/>
      <c r="R1008" s="249"/>
      <c r="S1008" s="249"/>
      <c r="T1008" s="249"/>
      <c r="U1008" s="249"/>
      <c r="V1008" s="249"/>
    </row>
    <row r="1009">
      <c r="A1009" s="255" t="s">
        <v>2108</v>
      </c>
      <c r="B1009" s="248" t="s">
        <v>748</v>
      </c>
      <c r="C1009" s="248" t="s">
        <v>694</v>
      </c>
      <c r="D1009" s="248" t="s">
        <v>512</v>
      </c>
      <c r="E1009" s="248">
        <v>193947.0</v>
      </c>
      <c r="F1009" s="256">
        <v>44936.0</v>
      </c>
      <c r="G1009" s="248">
        <v>2023.0</v>
      </c>
      <c r="H1009" s="248" t="s">
        <v>513</v>
      </c>
      <c r="I1009" s="248" t="s">
        <v>521</v>
      </c>
      <c r="J1009" s="248" t="s">
        <v>297</v>
      </c>
      <c r="K1009" s="249" t="s">
        <v>2109</v>
      </c>
      <c r="L1009" s="257" t="s">
        <v>516</v>
      </c>
      <c r="M1009" s="249"/>
      <c r="N1009" s="249"/>
      <c r="O1009" s="249"/>
      <c r="P1009" s="249"/>
      <c r="Q1009" s="249"/>
      <c r="R1009" s="249"/>
      <c r="S1009" s="249"/>
      <c r="T1009" s="249"/>
      <c r="U1009" s="249"/>
      <c r="V1009" s="249"/>
    </row>
    <row r="1010">
      <c r="A1010" s="255" t="s">
        <v>2110</v>
      </c>
      <c r="B1010" s="248" t="s">
        <v>688</v>
      </c>
      <c r="C1010" s="248" t="s">
        <v>683</v>
      </c>
      <c r="D1010" s="248" t="s">
        <v>512</v>
      </c>
      <c r="E1010" s="248">
        <v>1547.0</v>
      </c>
      <c r="F1010" s="256">
        <v>44936.0</v>
      </c>
      <c r="G1010" s="248">
        <v>2023.0</v>
      </c>
      <c r="H1010" s="248" t="s">
        <v>513</v>
      </c>
      <c r="I1010" s="248" t="s">
        <v>514</v>
      </c>
      <c r="J1010" s="248" t="s">
        <v>309</v>
      </c>
      <c r="K1010" s="249" t="s">
        <v>2111</v>
      </c>
      <c r="L1010" s="257" t="s">
        <v>516</v>
      </c>
      <c r="M1010" s="249"/>
      <c r="N1010" s="249"/>
      <c r="O1010" s="249"/>
      <c r="P1010" s="249"/>
      <c r="Q1010" s="249"/>
      <c r="R1010" s="249"/>
      <c r="S1010" s="249"/>
      <c r="T1010" s="249"/>
      <c r="U1010" s="249"/>
      <c r="V1010" s="249"/>
    </row>
    <row r="1011">
      <c r="A1011" s="255" t="s">
        <v>2112</v>
      </c>
      <c r="B1011" s="248" t="s">
        <v>668</v>
      </c>
      <c r="C1011" s="248" t="s">
        <v>669</v>
      </c>
      <c r="D1011" s="248" t="s">
        <v>512</v>
      </c>
      <c r="E1011" s="248">
        <v>134000.0</v>
      </c>
      <c r="F1011" s="256">
        <v>44932.0</v>
      </c>
      <c r="G1011" s="248">
        <v>2023.0</v>
      </c>
      <c r="H1011" s="248" t="s">
        <v>546</v>
      </c>
      <c r="I1011" s="248" t="s">
        <v>561</v>
      </c>
      <c r="J1011" s="248" t="s">
        <v>309</v>
      </c>
      <c r="K1011" s="249" t="s">
        <v>2113</v>
      </c>
      <c r="L1011" s="257" t="s">
        <v>516</v>
      </c>
      <c r="M1011" s="249"/>
      <c r="N1011" s="249"/>
      <c r="O1011" s="249"/>
      <c r="P1011" s="249"/>
      <c r="Q1011" s="249"/>
      <c r="R1011" s="249"/>
      <c r="S1011" s="249"/>
      <c r="T1011" s="249"/>
      <c r="U1011" s="249"/>
      <c r="V1011" s="249"/>
    </row>
    <row r="1012">
      <c r="A1012" s="255" t="s">
        <v>2114</v>
      </c>
      <c r="B1012" s="248" t="s">
        <v>679</v>
      </c>
      <c r="C1012" s="248" t="s">
        <v>663</v>
      </c>
      <c r="D1012" s="248" t="s">
        <v>512</v>
      </c>
      <c r="E1012" s="248">
        <v>1195.0</v>
      </c>
      <c r="F1012" s="256">
        <v>44931.0</v>
      </c>
      <c r="G1012" s="248">
        <v>2023.0</v>
      </c>
      <c r="H1012" s="248" t="s">
        <v>546</v>
      </c>
      <c r="I1012" s="248" t="s">
        <v>561</v>
      </c>
      <c r="J1012" s="248" t="s">
        <v>309</v>
      </c>
      <c r="K1012" s="249" t="s">
        <v>2115</v>
      </c>
      <c r="L1012" s="257" t="s">
        <v>516</v>
      </c>
      <c r="M1012" s="249"/>
      <c r="N1012" s="249"/>
      <c r="O1012" s="249"/>
      <c r="P1012" s="249"/>
      <c r="Q1012" s="249"/>
      <c r="R1012" s="249"/>
      <c r="S1012" s="249"/>
      <c r="T1012" s="249"/>
      <c r="U1012" s="249"/>
      <c r="V1012" s="249"/>
    </row>
    <row r="1013">
      <c r="A1013" s="255" t="s">
        <v>2116</v>
      </c>
      <c r="B1013" s="248" t="s">
        <v>679</v>
      </c>
      <c r="C1013" s="248" t="s">
        <v>663</v>
      </c>
      <c r="D1013" s="248" t="s">
        <v>512</v>
      </c>
      <c r="E1013" s="248">
        <v>5853.0</v>
      </c>
      <c r="F1013" s="256">
        <v>44931.0</v>
      </c>
      <c r="G1013" s="248">
        <v>2023.0</v>
      </c>
      <c r="H1013" s="248" t="s">
        <v>546</v>
      </c>
      <c r="I1013" s="248" t="s">
        <v>561</v>
      </c>
      <c r="J1013" s="248" t="s">
        <v>309</v>
      </c>
      <c r="K1013" s="249" t="s">
        <v>2117</v>
      </c>
      <c r="L1013" s="257" t="s">
        <v>516</v>
      </c>
      <c r="M1013" s="249"/>
      <c r="N1013" s="249"/>
      <c r="O1013" s="249"/>
      <c r="P1013" s="249"/>
      <c r="Q1013" s="249"/>
      <c r="R1013" s="249"/>
      <c r="S1013" s="249"/>
      <c r="T1013" s="249"/>
      <c r="U1013" s="249"/>
      <c r="V1013" s="249"/>
    </row>
    <row r="1014">
      <c r="A1014" s="255" t="s">
        <v>2118</v>
      </c>
      <c r="B1014" s="248" t="s">
        <v>878</v>
      </c>
      <c r="C1014" s="248" t="s">
        <v>643</v>
      </c>
      <c r="D1014" s="248" t="s">
        <v>512</v>
      </c>
      <c r="E1014" s="248">
        <v>5368.0</v>
      </c>
      <c r="F1014" s="256">
        <v>44931.0</v>
      </c>
      <c r="G1014" s="248">
        <v>2023.0</v>
      </c>
      <c r="H1014" s="248" t="s">
        <v>513</v>
      </c>
      <c r="I1014" s="248" t="s">
        <v>521</v>
      </c>
      <c r="J1014" s="248" t="s">
        <v>297</v>
      </c>
      <c r="K1014" s="249" t="s">
        <v>2119</v>
      </c>
      <c r="L1014" s="257" t="s">
        <v>516</v>
      </c>
      <c r="M1014" s="249"/>
      <c r="N1014" s="249"/>
      <c r="O1014" s="249"/>
      <c r="P1014" s="249"/>
      <c r="Q1014" s="249"/>
      <c r="R1014" s="249"/>
      <c r="S1014" s="249"/>
      <c r="T1014" s="249"/>
      <c r="U1014" s="249"/>
      <c r="V1014" s="249"/>
    </row>
    <row r="1015">
      <c r="A1015" s="255" t="s">
        <v>2120</v>
      </c>
      <c r="B1015" s="248" t="s">
        <v>590</v>
      </c>
      <c r="C1015" s="248" t="s">
        <v>591</v>
      </c>
      <c r="D1015" s="248" t="s">
        <v>512</v>
      </c>
      <c r="E1015" s="248">
        <v>29000.0</v>
      </c>
      <c r="F1015" s="256">
        <v>44931.0</v>
      </c>
      <c r="G1015" s="248">
        <v>2023.0</v>
      </c>
      <c r="H1015" s="248" t="s">
        <v>546</v>
      </c>
      <c r="I1015" s="248" t="s">
        <v>514</v>
      </c>
      <c r="J1015" s="248" t="s">
        <v>297</v>
      </c>
      <c r="K1015" s="249" t="s">
        <v>66</v>
      </c>
      <c r="L1015" s="257" t="s">
        <v>516</v>
      </c>
      <c r="M1015" s="249"/>
      <c r="N1015" s="249"/>
      <c r="O1015" s="249"/>
      <c r="P1015" s="249"/>
      <c r="Q1015" s="249"/>
      <c r="R1015" s="249"/>
      <c r="S1015" s="249"/>
      <c r="T1015" s="249"/>
      <c r="U1015" s="249"/>
      <c r="V1015" s="249"/>
    </row>
    <row r="1016">
      <c r="A1016" s="255" t="s">
        <v>2121</v>
      </c>
      <c r="B1016" s="248" t="s">
        <v>679</v>
      </c>
      <c r="C1016" s="248" t="s">
        <v>663</v>
      </c>
      <c r="D1016" s="248" t="s">
        <v>512</v>
      </c>
      <c r="E1016" s="248">
        <v>1064.0</v>
      </c>
      <c r="F1016" s="256">
        <v>44931.0</v>
      </c>
      <c r="G1016" s="248">
        <v>2023.0</v>
      </c>
      <c r="H1016" s="248" t="s">
        <v>513</v>
      </c>
      <c r="I1016" s="248" t="s">
        <v>561</v>
      </c>
      <c r="J1016" s="248" t="s">
        <v>297</v>
      </c>
      <c r="K1016" s="249" t="s">
        <v>2122</v>
      </c>
      <c r="L1016" s="257" t="s">
        <v>516</v>
      </c>
      <c r="M1016" s="249"/>
      <c r="N1016" s="249"/>
      <c r="O1016" s="249"/>
      <c r="P1016" s="249"/>
      <c r="Q1016" s="249"/>
      <c r="R1016" s="249"/>
      <c r="S1016" s="249"/>
      <c r="T1016" s="249"/>
      <c r="U1016" s="249"/>
      <c r="V1016" s="249"/>
    </row>
    <row r="1017">
      <c r="A1017" s="255" t="s">
        <v>2123</v>
      </c>
      <c r="B1017" s="248" t="s">
        <v>679</v>
      </c>
      <c r="C1017" s="248" t="s">
        <v>663</v>
      </c>
      <c r="D1017" s="248" t="s">
        <v>512</v>
      </c>
      <c r="E1017" s="248">
        <v>5264.0</v>
      </c>
      <c r="F1017" s="256">
        <v>44929.0</v>
      </c>
      <c r="G1017" s="248">
        <v>2023.0</v>
      </c>
      <c r="H1017" s="248" t="s">
        <v>513</v>
      </c>
      <c r="I1017" s="248" t="s">
        <v>521</v>
      </c>
      <c r="J1017" s="248" t="s">
        <v>297</v>
      </c>
      <c r="K1017" s="249" t="s">
        <v>2124</v>
      </c>
      <c r="L1017" s="257" t="s">
        <v>516</v>
      </c>
      <c r="M1017" s="249"/>
      <c r="N1017" s="249"/>
      <c r="O1017" s="249"/>
      <c r="P1017" s="249"/>
      <c r="Q1017" s="249"/>
      <c r="R1017" s="249"/>
      <c r="S1017" s="249"/>
      <c r="T1017" s="249"/>
      <c r="U1017" s="249"/>
      <c r="V1017" s="249"/>
    </row>
    <row r="1018">
      <c r="A1018" s="255" t="s">
        <v>2125</v>
      </c>
      <c r="B1018" s="248" t="s">
        <v>573</v>
      </c>
      <c r="C1018" s="248" t="s">
        <v>574</v>
      </c>
      <c r="D1018" s="248" t="s">
        <v>520</v>
      </c>
      <c r="E1018" s="248">
        <v>1039.0</v>
      </c>
      <c r="F1018" s="256">
        <v>44929.0</v>
      </c>
      <c r="G1018" s="248">
        <v>2023.0</v>
      </c>
      <c r="H1018" s="248" t="s">
        <v>513</v>
      </c>
      <c r="I1018" s="248" t="s">
        <v>521</v>
      </c>
      <c r="J1018" s="248" t="s">
        <v>309</v>
      </c>
      <c r="K1018" s="249" t="s">
        <v>2126</v>
      </c>
      <c r="L1018" s="257" t="s">
        <v>516</v>
      </c>
      <c r="M1018" s="249"/>
      <c r="N1018" s="249"/>
      <c r="O1018" s="249"/>
      <c r="P1018" s="249"/>
      <c r="Q1018" s="249"/>
      <c r="R1018" s="249"/>
      <c r="S1018" s="249"/>
      <c r="T1018" s="249"/>
      <c r="U1018" s="249"/>
      <c r="V1018" s="249"/>
    </row>
    <row r="1019">
      <c r="A1019" s="255" t="s">
        <v>2127</v>
      </c>
      <c r="B1019" s="248" t="s">
        <v>542</v>
      </c>
      <c r="C1019" s="248" t="s">
        <v>543</v>
      </c>
      <c r="D1019" s="248" t="s">
        <v>512</v>
      </c>
      <c r="E1019" s="248">
        <v>61170.0</v>
      </c>
      <c r="F1019" s="256">
        <v>44929.0</v>
      </c>
      <c r="G1019" s="248">
        <v>2023.0</v>
      </c>
      <c r="H1019" s="248" t="s">
        <v>513</v>
      </c>
      <c r="I1019" s="248" t="s">
        <v>514</v>
      </c>
      <c r="J1019" s="248" t="s">
        <v>297</v>
      </c>
      <c r="K1019" s="249" t="s">
        <v>2128</v>
      </c>
      <c r="L1019" s="257" t="s">
        <v>516</v>
      </c>
      <c r="M1019" s="249"/>
      <c r="N1019" s="249"/>
      <c r="O1019" s="249"/>
      <c r="P1019" s="249"/>
      <c r="Q1019" s="249"/>
      <c r="R1019" s="249"/>
      <c r="S1019" s="249"/>
      <c r="T1019" s="249"/>
      <c r="U1019" s="249"/>
      <c r="V1019" s="249"/>
    </row>
    <row r="1020">
      <c r="A1020" s="255" t="s">
        <v>2129</v>
      </c>
      <c r="B1020" s="248" t="s">
        <v>542</v>
      </c>
      <c r="C1020" s="248" t="s">
        <v>543</v>
      </c>
      <c r="D1020" s="248" t="s">
        <v>512</v>
      </c>
      <c r="E1020" s="248">
        <v>542990.0</v>
      </c>
      <c r="F1020" s="256">
        <v>45288.0</v>
      </c>
      <c r="G1020" s="248">
        <v>2023.0</v>
      </c>
      <c r="H1020" s="248" t="s">
        <v>513</v>
      </c>
      <c r="I1020" s="248" t="s">
        <v>514</v>
      </c>
      <c r="J1020" s="248" t="s">
        <v>297</v>
      </c>
      <c r="K1020" s="249" t="s">
        <v>66</v>
      </c>
      <c r="L1020" s="257" t="s">
        <v>523</v>
      </c>
      <c r="M1020" s="249"/>
      <c r="N1020" s="249"/>
      <c r="O1020" s="249"/>
      <c r="P1020" s="249"/>
      <c r="Q1020" s="249"/>
      <c r="R1020" s="249"/>
      <c r="S1020" s="249"/>
      <c r="T1020" s="249"/>
      <c r="U1020" s="249"/>
      <c r="V1020" s="249"/>
    </row>
    <row r="1021">
      <c r="A1021" s="255" t="s">
        <v>2130</v>
      </c>
      <c r="B1021" s="248" t="s">
        <v>607</v>
      </c>
      <c r="C1021" s="248" t="s">
        <v>608</v>
      </c>
      <c r="D1021" s="248" t="s">
        <v>512</v>
      </c>
      <c r="E1021" s="248">
        <v>61014.0</v>
      </c>
      <c r="F1021" s="256">
        <v>45287.0</v>
      </c>
      <c r="G1021" s="248">
        <v>2023.0</v>
      </c>
      <c r="H1021" s="248" t="s">
        <v>513</v>
      </c>
      <c r="I1021" s="248" t="s">
        <v>514</v>
      </c>
      <c r="J1021" s="248" t="s">
        <v>297</v>
      </c>
      <c r="K1021" s="249" t="s">
        <v>66</v>
      </c>
      <c r="L1021" s="257" t="s">
        <v>523</v>
      </c>
      <c r="M1021" s="249"/>
      <c r="N1021" s="249"/>
      <c r="O1021" s="249"/>
      <c r="P1021" s="249"/>
      <c r="Q1021" s="249"/>
      <c r="R1021" s="249"/>
      <c r="S1021" s="249"/>
      <c r="T1021" s="249"/>
      <c r="U1021" s="249"/>
      <c r="V1021" s="249"/>
    </row>
    <row r="1022">
      <c r="A1022" s="255" t="s">
        <v>2131</v>
      </c>
      <c r="B1022" s="248" t="s">
        <v>586</v>
      </c>
      <c r="C1022" s="248" t="s">
        <v>587</v>
      </c>
      <c r="D1022" s="248" t="s">
        <v>512</v>
      </c>
      <c r="E1022" s="248">
        <v>5000.0</v>
      </c>
      <c r="F1022" s="256">
        <v>45286.0</v>
      </c>
      <c r="G1022" s="248">
        <v>2023.0</v>
      </c>
      <c r="H1022" s="248" t="s">
        <v>513</v>
      </c>
      <c r="I1022" s="248" t="s">
        <v>521</v>
      </c>
      <c r="J1022" s="248" t="s">
        <v>297</v>
      </c>
      <c r="K1022" s="249" t="s">
        <v>66</v>
      </c>
      <c r="L1022" s="257" t="s">
        <v>523</v>
      </c>
      <c r="M1022" s="249"/>
      <c r="N1022" s="249"/>
      <c r="O1022" s="249"/>
      <c r="P1022" s="249"/>
      <c r="Q1022" s="249"/>
      <c r="R1022" s="249"/>
      <c r="S1022" s="249"/>
      <c r="T1022" s="249"/>
      <c r="U1022" s="249"/>
      <c r="V1022" s="249"/>
    </row>
    <row r="1023">
      <c r="A1023" s="255" t="s">
        <v>2132</v>
      </c>
      <c r="B1023" s="248" t="s">
        <v>542</v>
      </c>
      <c r="C1023" s="248" t="s">
        <v>543</v>
      </c>
      <c r="D1023" s="248" t="s">
        <v>512</v>
      </c>
      <c r="E1023" s="248">
        <v>98808.0</v>
      </c>
      <c r="F1023" s="256">
        <v>45282.0</v>
      </c>
      <c r="G1023" s="248">
        <v>2023.0</v>
      </c>
      <c r="H1023" s="248" t="s">
        <v>513</v>
      </c>
      <c r="I1023" s="248" t="s">
        <v>514</v>
      </c>
      <c r="J1023" s="248" t="s">
        <v>297</v>
      </c>
      <c r="K1023" s="249" t="s">
        <v>66</v>
      </c>
      <c r="L1023" s="257" t="s">
        <v>523</v>
      </c>
      <c r="M1023" s="249"/>
      <c r="N1023" s="249"/>
      <c r="O1023" s="249"/>
      <c r="P1023" s="249"/>
      <c r="Q1023" s="249"/>
      <c r="R1023" s="249"/>
      <c r="S1023" s="249"/>
      <c r="T1023" s="249"/>
      <c r="U1023" s="249"/>
      <c r="V1023" s="249"/>
    </row>
    <row r="1024">
      <c r="A1024" s="255" t="s">
        <v>2133</v>
      </c>
      <c r="B1024" s="248" t="s">
        <v>727</v>
      </c>
      <c r="C1024" s="248" t="s">
        <v>658</v>
      </c>
      <c r="D1024" s="248" t="s">
        <v>512</v>
      </c>
      <c r="E1024" s="248">
        <v>2705.0</v>
      </c>
      <c r="F1024" s="256">
        <v>45282.0</v>
      </c>
      <c r="G1024" s="248">
        <v>2023.0</v>
      </c>
      <c r="H1024" s="248" t="s">
        <v>513</v>
      </c>
      <c r="I1024" s="248" t="s">
        <v>521</v>
      </c>
      <c r="J1024" s="248" t="s">
        <v>297</v>
      </c>
      <c r="K1024" s="249" t="s">
        <v>66</v>
      </c>
      <c r="L1024" s="257" t="s">
        <v>523</v>
      </c>
      <c r="M1024" s="249"/>
      <c r="N1024" s="249"/>
      <c r="O1024" s="249"/>
      <c r="P1024" s="249"/>
      <c r="Q1024" s="249"/>
      <c r="R1024" s="249"/>
      <c r="S1024" s="249"/>
      <c r="T1024" s="249"/>
      <c r="U1024" s="249"/>
      <c r="V1024" s="249"/>
    </row>
    <row r="1025">
      <c r="A1025" s="255" t="s">
        <v>2134</v>
      </c>
      <c r="B1025" s="248" t="s">
        <v>924</v>
      </c>
      <c r="C1025" s="248" t="s">
        <v>725</v>
      </c>
      <c r="D1025" s="248" t="s">
        <v>512</v>
      </c>
      <c r="E1025" s="248">
        <v>59334.0</v>
      </c>
      <c r="F1025" s="256">
        <v>45282.0</v>
      </c>
      <c r="G1025" s="248">
        <v>2023.0</v>
      </c>
      <c r="H1025" s="248" t="s">
        <v>513</v>
      </c>
      <c r="I1025" s="248" t="s">
        <v>521</v>
      </c>
      <c r="J1025" s="248" t="s">
        <v>297</v>
      </c>
      <c r="K1025" s="249" t="s">
        <v>66</v>
      </c>
      <c r="L1025" s="257" t="s">
        <v>523</v>
      </c>
      <c r="M1025" s="249"/>
      <c r="N1025" s="249"/>
      <c r="O1025" s="249"/>
      <c r="P1025" s="249"/>
      <c r="Q1025" s="249"/>
      <c r="R1025" s="249"/>
      <c r="S1025" s="249"/>
      <c r="T1025" s="249"/>
      <c r="U1025" s="249"/>
      <c r="V1025" s="249"/>
    </row>
    <row r="1026">
      <c r="A1026" s="255" t="s">
        <v>2135</v>
      </c>
      <c r="B1026" s="248" t="s">
        <v>641</v>
      </c>
      <c r="C1026" s="248" t="s">
        <v>633</v>
      </c>
      <c r="D1026" s="248" t="s">
        <v>520</v>
      </c>
      <c r="E1026" s="248">
        <v>123807.0</v>
      </c>
      <c r="F1026" s="256">
        <v>45282.0</v>
      </c>
      <c r="G1026" s="248">
        <v>2023.0</v>
      </c>
      <c r="H1026" s="248" t="s">
        <v>513</v>
      </c>
      <c r="I1026" s="248" t="s">
        <v>514</v>
      </c>
      <c r="J1026" s="248" t="s">
        <v>309</v>
      </c>
      <c r="K1026" s="249" t="s">
        <v>66</v>
      </c>
      <c r="L1026" s="257" t="s">
        <v>523</v>
      </c>
      <c r="M1026" s="249"/>
      <c r="N1026" s="249"/>
      <c r="O1026" s="249"/>
      <c r="P1026" s="249"/>
      <c r="Q1026" s="249"/>
      <c r="R1026" s="249"/>
      <c r="S1026" s="249"/>
      <c r="T1026" s="249"/>
      <c r="U1026" s="249"/>
      <c r="V1026" s="249"/>
    </row>
    <row r="1027">
      <c r="A1027" s="255" t="s">
        <v>2136</v>
      </c>
      <c r="B1027" s="248" t="s">
        <v>845</v>
      </c>
      <c r="C1027" s="248" t="s">
        <v>733</v>
      </c>
      <c r="D1027" s="248" t="s">
        <v>512</v>
      </c>
      <c r="E1027" s="248">
        <v>6965.0</v>
      </c>
      <c r="F1027" s="256">
        <v>45282.0</v>
      </c>
      <c r="G1027" s="248">
        <v>2023.0</v>
      </c>
      <c r="H1027" s="248" t="s">
        <v>513</v>
      </c>
      <c r="I1027" s="248" t="s">
        <v>521</v>
      </c>
      <c r="J1027" s="248" t="s">
        <v>297</v>
      </c>
      <c r="K1027" s="249" t="s">
        <v>66</v>
      </c>
      <c r="L1027" s="257" t="s">
        <v>523</v>
      </c>
      <c r="M1027" s="249"/>
      <c r="N1027" s="249"/>
      <c r="O1027" s="249"/>
      <c r="P1027" s="249"/>
      <c r="Q1027" s="249"/>
      <c r="R1027" s="249"/>
      <c r="S1027" s="249"/>
      <c r="T1027" s="249"/>
      <c r="U1027" s="249"/>
      <c r="V1027" s="249"/>
    </row>
    <row r="1028">
      <c r="A1028" s="255" t="s">
        <v>2137</v>
      </c>
      <c r="B1028" s="248" t="s">
        <v>810</v>
      </c>
      <c r="C1028" s="248" t="s">
        <v>655</v>
      </c>
      <c r="D1028" s="248" t="s">
        <v>512</v>
      </c>
      <c r="E1028" s="248">
        <v>455935.0</v>
      </c>
      <c r="F1028" s="256">
        <v>45282.0</v>
      </c>
      <c r="G1028" s="248">
        <v>2023.0</v>
      </c>
      <c r="H1028" s="248" t="s">
        <v>513</v>
      </c>
      <c r="I1028" s="248" t="s">
        <v>514</v>
      </c>
      <c r="J1028" s="248" t="s">
        <v>297</v>
      </c>
      <c r="K1028" s="249" t="s">
        <v>66</v>
      </c>
      <c r="L1028" s="257" t="s">
        <v>523</v>
      </c>
      <c r="M1028" s="249"/>
      <c r="N1028" s="249"/>
      <c r="O1028" s="249"/>
      <c r="P1028" s="249"/>
      <c r="Q1028" s="249"/>
      <c r="R1028" s="249"/>
      <c r="S1028" s="249"/>
      <c r="T1028" s="249"/>
      <c r="U1028" s="249"/>
      <c r="V1028" s="249"/>
    </row>
    <row r="1029">
      <c r="A1029" s="255" t="s">
        <v>1340</v>
      </c>
      <c r="B1029" s="248" t="s">
        <v>525</v>
      </c>
      <c r="C1029" s="248" t="s">
        <v>526</v>
      </c>
      <c r="D1029" s="248" t="s">
        <v>512</v>
      </c>
      <c r="E1029" s="248">
        <v>1840927.0</v>
      </c>
      <c r="F1029" s="256">
        <v>45282.0</v>
      </c>
      <c r="G1029" s="248">
        <v>2023.0</v>
      </c>
      <c r="H1029" s="248" t="s">
        <v>513</v>
      </c>
      <c r="I1029" s="248" t="s">
        <v>514</v>
      </c>
      <c r="J1029" s="248" t="s">
        <v>297</v>
      </c>
      <c r="K1029" s="249" t="s">
        <v>66</v>
      </c>
      <c r="L1029" s="257" t="s">
        <v>523</v>
      </c>
      <c r="M1029" s="249"/>
      <c r="N1029" s="249"/>
      <c r="O1029" s="249"/>
      <c r="P1029" s="249"/>
      <c r="Q1029" s="249"/>
      <c r="R1029" s="249"/>
      <c r="S1029" s="249"/>
      <c r="T1029" s="249"/>
      <c r="U1029" s="249"/>
      <c r="V1029" s="249"/>
    </row>
    <row r="1030">
      <c r="A1030" s="255" t="s">
        <v>2138</v>
      </c>
      <c r="B1030" s="248" t="s">
        <v>578</v>
      </c>
      <c r="C1030" s="248" t="s">
        <v>579</v>
      </c>
      <c r="D1030" s="248" t="s">
        <v>520</v>
      </c>
      <c r="E1030" s="248">
        <v>4656293.0</v>
      </c>
      <c r="F1030" s="256">
        <v>45281.0</v>
      </c>
      <c r="G1030" s="248">
        <v>2023.0</v>
      </c>
      <c r="H1030" s="248" t="s">
        <v>513</v>
      </c>
      <c r="I1030" s="248" t="s">
        <v>514</v>
      </c>
      <c r="J1030" s="248" t="s">
        <v>309</v>
      </c>
      <c r="K1030" s="249" t="s">
        <v>66</v>
      </c>
      <c r="L1030" s="257" t="s">
        <v>523</v>
      </c>
      <c r="M1030" s="249"/>
      <c r="N1030" s="249"/>
      <c r="O1030" s="249"/>
      <c r="P1030" s="249"/>
      <c r="Q1030" s="249"/>
      <c r="R1030" s="249"/>
      <c r="S1030" s="249"/>
      <c r="T1030" s="249"/>
      <c r="U1030" s="249"/>
      <c r="V1030" s="249"/>
    </row>
    <row r="1031">
      <c r="A1031" s="255" t="s">
        <v>2139</v>
      </c>
      <c r="B1031" s="248" t="s">
        <v>668</v>
      </c>
      <c r="C1031" s="248" t="s">
        <v>669</v>
      </c>
      <c r="D1031" s="248" t="s">
        <v>512</v>
      </c>
      <c r="E1031" s="248">
        <v>1000.0</v>
      </c>
      <c r="F1031" s="256">
        <v>45281.0</v>
      </c>
      <c r="G1031" s="248">
        <v>2023.0</v>
      </c>
      <c r="H1031" s="248" t="s">
        <v>513</v>
      </c>
      <c r="I1031" s="248" t="s">
        <v>514</v>
      </c>
      <c r="J1031" s="248" t="s">
        <v>297</v>
      </c>
      <c r="K1031" s="249" t="s">
        <v>66</v>
      </c>
      <c r="L1031" s="257" t="s">
        <v>523</v>
      </c>
      <c r="M1031" s="249"/>
      <c r="N1031" s="249"/>
      <c r="O1031" s="249"/>
      <c r="P1031" s="249"/>
      <c r="Q1031" s="249"/>
      <c r="R1031" s="249"/>
      <c r="S1031" s="249"/>
      <c r="T1031" s="249"/>
      <c r="U1031" s="249"/>
      <c r="V1031" s="249"/>
    </row>
    <row r="1032">
      <c r="A1032" s="255" t="s">
        <v>2140</v>
      </c>
      <c r="B1032" s="248" t="s">
        <v>748</v>
      </c>
      <c r="C1032" s="248" t="s">
        <v>694</v>
      </c>
      <c r="D1032" s="248" t="s">
        <v>512</v>
      </c>
      <c r="E1032" s="248">
        <v>35533.0</v>
      </c>
      <c r="F1032" s="256">
        <v>45281.0</v>
      </c>
      <c r="G1032" s="248">
        <v>2023.0</v>
      </c>
      <c r="H1032" s="248" t="s">
        <v>513</v>
      </c>
      <c r="I1032" s="248" t="s">
        <v>514</v>
      </c>
      <c r="J1032" s="248" t="s">
        <v>297</v>
      </c>
      <c r="K1032" s="249" t="s">
        <v>66</v>
      </c>
      <c r="L1032" s="257" t="s">
        <v>523</v>
      </c>
      <c r="M1032" s="249"/>
      <c r="N1032" s="249"/>
      <c r="O1032" s="249"/>
      <c r="P1032" s="249"/>
      <c r="Q1032" s="249"/>
      <c r="R1032" s="249"/>
      <c r="S1032" s="249"/>
      <c r="T1032" s="249"/>
      <c r="U1032" s="249"/>
      <c r="V1032" s="249"/>
    </row>
    <row r="1033">
      <c r="A1033" s="255" t="s">
        <v>2141</v>
      </c>
      <c r="B1033" s="248" t="s">
        <v>75</v>
      </c>
      <c r="C1033" s="248" t="s">
        <v>675</v>
      </c>
      <c r="D1033" s="248" t="s">
        <v>512</v>
      </c>
      <c r="E1033" s="248">
        <v>569022.0</v>
      </c>
      <c r="F1033" s="256">
        <v>45280.0</v>
      </c>
      <c r="G1033" s="248">
        <v>2023.0</v>
      </c>
      <c r="H1033" s="248" t="s">
        <v>513</v>
      </c>
      <c r="I1033" s="248" t="s">
        <v>998</v>
      </c>
      <c r="J1033" s="248" t="s">
        <v>297</v>
      </c>
      <c r="K1033" s="249" t="s">
        <v>66</v>
      </c>
      <c r="L1033" s="257" t="s">
        <v>523</v>
      </c>
      <c r="M1033" s="249"/>
      <c r="N1033" s="249"/>
      <c r="O1033" s="249"/>
      <c r="P1033" s="249"/>
      <c r="Q1033" s="249"/>
      <c r="R1033" s="249"/>
      <c r="S1033" s="249"/>
      <c r="T1033" s="249"/>
      <c r="U1033" s="249"/>
      <c r="V1033" s="249"/>
    </row>
    <row r="1034">
      <c r="A1034" s="255" t="s">
        <v>2142</v>
      </c>
      <c r="B1034" s="248" t="s">
        <v>668</v>
      </c>
      <c r="C1034" s="248" t="s">
        <v>669</v>
      </c>
      <c r="D1034" s="248" t="s">
        <v>512</v>
      </c>
      <c r="E1034" s="248">
        <v>10079.0</v>
      </c>
      <c r="F1034" s="256">
        <v>45280.0</v>
      </c>
      <c r="G1034" s="248">
        <v>2023.0</v>
      </c>
      <c r="H1034" s="248" t="s">
        <v>513</v>
      </c>
      <c r="I1034" s="248" t="s">
        <v>521</v>
      </c>
      <c r="J1034" s="248" t="s">
        <v>297</v>
      </c>
      <c r="K1034" s="249" t="s">
        <v>66</v>
      </c>
      <c r="L1034" s="257" t="s">
        <v>523</v>
      </c>
      <c r="M1034" s="249"/>
      <c r="N1034" s="249"/>
      <c r="O1034" s="249"/>
      <c r="P1034" s="249"/>
      <c r="Q1034" s="249"/>
      <c r="R1034" s="249"/>
      <c r="S1034" s="249"/>
      <c r="T1034" s="249"/>
      <c r="U1034" s="249"/>
      <c r="V1034" s="249"/>
    </row>
    <row r="1035">
      <c r="A1035" s="255" t="s">
        <v>2143</v>
      </c>
      <c r="B1035" s="248" t="s">
        <v>679</v>
      </c>
      <c r="C1035" s="248" t="s">
        <v>663</v>
      </c>
      <c r="D1035" s="248" t="s">
        <v>520</v>
      </c>
      <c r="E1035" s="248">
        <v>2700000.0</v>
      </c>
      <c r="F1035" s="256">
        <v>45278.0</v>
      </c>
      <c r="G1035" s="248">
        <v>2023.0</v>
      </c>
      <c r="H1035" s="248" t="s">
        <v>513</v>
      </c>
      <c r="I1035" s="248" t="s">
        <v>514</v>
      </c>
      <c r="J1035" s="248" t="s">
        <v>309</v>
      </c>
      <c r="K1035" s="249" t="s">
        <v>66</v>
      </c>
      <c r="L1035" s="257" t="s">
        <v>523</v>
      </c>
      <c r="M1035" s="249"/>
      <c r="N1035" s="249"/>
      <c r="O1035" s="249"/>
      <c r="P1035" s="249"/>
      <c r="Q1035" s="249"/>
      <c r="R1035" s="249"/>
      <c r="S1035" s="249"/>
      <c r="T1035" s="249"/>
      <c r="U1035" s="249"/>
      <c r="V1035" s="249"/>
    </row>
    <row r="1036">
      <c r="A1036" s="255" t="s">
        <v>2144</v>
      </c>
      <c r="B1036" s="248" t="s">
        <v>810</v>
      </c>
      <c r="C1036" s="248" t="s">
        <v>655</v>
      </c>
      <c r="D1036" s="248" t="s">
        <v>512</v>
      </c>
      <c r="E1036" s="248">
        <v>4792.0</v>
      </c>
      <c r="F1036" s="256">
        <v>45277.0</v>
      </c>
      <c r="G1036" s="248">
        <v>2023.0</v>
      </c>
      <c r="H1036" s="248" t="s">
        <v>513</v>
      </c>
      <c r="I1036" s="248" t="s">
        <v>514</v>
      </c>
      <c r="J1036" s="248" t="s">
        <v>297</v>
      </c>
      <c r="K1036" s="249" t="s">
        <v>66</v>
      </c>
      <c r="L1036" s="257" t="s">
        <v>523</v>
      </c>
      <c r="M1036" s="249"/>
      <c r="N1036" s="249"/>
      <c r="O1036" s="249"/>
      <c r="P1036" s="249"/>
      <c r="Q1036" s="249"/>
      <c r="R1036" s="249"/>
      <c r="S1036" s="249"/>
      <c r="T1036" s="249"/>
      <c r="U1036" s="249"/>
      <c r="V1036" s="249"/>
    </row>
    <row r="1037">
      <c r="A1037" s="255" t="s">
        <v>2145</v>
      </c>
      <c r="B1037" s="248" t="s">
        <v>586</v>
      </c>
      <c r="C1037" s="248" t="s">
        <v>587</v>
      </c>
      <c r="D1037" s="248" t="s">
        <v>512</v>
      </c>
      <c r="E1037" s="248">
        <v>6351.0</v>
      </c>
      <c r="F1037" s="256">
        <v>45276.0</v>
      </c>
      <c r="G1037" s="248">
        <v>2023.0</v>
      </c>
      <c r="H1037" s="248" t="s">
        <v>513</v>
      </c>
      <c r="I1037" s="248" t="s">
        <v>521</v>
      </c>
      <c r="J1037" s="248" t="s">
        <v>297</v>
      </c>
      <c r="K1037" s="249" t="s">
        <v>66</v>
      </c>
      <c r="L1037" s="257" t="s">
        <v>523</v>
      </c>
      <c r="M1037" s="249"/>
      <c r="N1037" s="249"/>
      <c r="O1037" s="249"/>
      <c r="P1037" s="249"/>
      <c r="Q1037" s="249"/>
      <c r="R1037" s="249"/>
      <c r="S1037" s="249"/>
      <c r="T1037" s="249"/>
      <c r="U1037" s="249"/>
      <c r="V1037" s="249"/>
    </row>
    <row r="1038">
      <c r="A1038" s="255" t="s">
        <v>2146</v>
      </c>
      <c r="B1038" s="248" t="s">
        <v>590</v>
      </c>
      <c r="C1038" s="248" t="s">
        <v>591</v>
      </c>
      <c r="D1038" s="248" t="s">
        <v>512</v>
      </c>
      <c r="E1038" s="248">
        <v>19691.0</v>
      </c>
      <c r="F1038" s="256">
        <v>45274.0</v>
      </c>
      <c r="G1038" s="248">
        <v>2023.0</v>
      </c>
      <c r="H1038" s="248" t="s">
        <v>513</v>
      </c>
      <c r="I1038" s="248" t="s">
        <v>514</v>
      </c>
      <c r="J1038" s="248" t="s">
        <v>297</v>
      </c>
      <c r="K1038" s="249" t="s">
        <v>66</v>
      </c>
      <c r="L1038" s="257" t="s">
        <v>523</v>
      </c>
      <c r="M1038" s="249"/>
      <c r="N1038" s="249"/>
      <c r="O1038" s="249"/>
      <c r="P1038" s="249"/>
      <c r="Q1038" s="249"/>
      <c r="R1038" s="249"/>
      <c r="S1038" s="249"/>
      <c r="T1038" s="249"/>
      <c r="U1038" s="249"/>
      <c r="V1038" s="249"/>
    </row>
    <row r="1039">
      <c r="A1039" s="255" t="s">
        <v>2147</v>
      </c>
      <c r="B1039" s="248" t="s">
        <v>679</v>
      </c>
      <c r="C1039" s="248" t="s">
        <v>663</v>
      </c>
      <c r="D1039" s="248" t="s">
        <v>512</v>
      </c>
      <c r="E1039" s="248">
        <v>63776.0</v>
      </c>
      <c r="F1039" s="256">
        <v>45272.0</v>
      </c>
      <c r="G1039" s="248">
        <v>2023.0</v>
      </c>
      <c r="H1039" s="248" t="s">
        <v>513</v>
      </c>
      <c r="I1039" s="248" t="s">
        <v>514</v>
      </c>
      <c r="J1039" s="248" t="s">
        <v>297</v>
      </c>
      <c r="K1039" s="249" t="s">
        <v>66</v>
      </c>
      <c r="L1039" s="257" t="s">
        <v>523</v>
      </c>
      <c r="M1039" s="249"/>
      <c r="N1039" s="249"/>
      <c r="O1039" s="249"/>
      <c r="P1039" s="249"/>
      <c r="Q1039" s="249"/>
      <c r="R1039" s="249"/>
      <c r="S1039" s="249"/>
      <c r="T1039" s="249"/>
      <c r="U1039" s="249"/>
      <c r="V1039" s="249"/>
    </row>
    <row r="1040">
      <c r="A1040" s="255" t="s">
        <v>2148</v>
      </c>
      <c r="B1040" s="248" t="s">
        <v>679</v>
      </c>
      <c r="C1040" s="248" t="s">
        <v>663</v>
      </c>
      <c r="D1040" s="248" t="s">
        <v>520</v>
      </c>
      <c r="E1040" s="248">
        <v>10277.0</v>
      </c>
      <c r="F1040" s="256">
        <v>45271.0</v>
      </c>
      <c r="G1040" s="248">
        <v>2023.0</v>
      </c>
      <c r="H1040" s="248" t="s">
        <v>513</v>
      </c>
      <c r="I1040" s="248" t="s">
        <v>514</v>
      </c>
      <c r="J1040" s="248" t="s">
        <v>309</v>
      </c>
      <c r="K1040" s="249" t="s">
        <v>66</v>
      </c>
      <c r="L1040" s="257" t="s">
        <v>523</v>
      </c>
      <c r="M1040" s="249"/>
      <c r="N1040" s="249"/>
      <c r="O1040" s="249"/>
      <c r="P1040" s="249"/>
      <c r="Q1040" s="249"/>
      <c r="R1040" s="249"/>
      <c r="S1040" s="249"/>
      <c r="T1040" s="249"/>
      <c r="U1040" s="249"/>
      <c r="V1040" s="249"/>
    </row>
    <row r="1041">
      <c r="A1041" s="255" t="s">
        <v>2149</v>
      </c>
      <c r="B1041" s="248" t="s">
        <v>530</v>
      </c>
      <c r="C1041" s="248" t="s">
        <v>531</v>
      </c>
      <c r="D1041" s="248" t="s">
        <v>575</v>
      </c>
      <c r="E1041" s="248">
        <v>4631.0</v>
      </c>
      <c r="F1041" s="256">
        <v>45271.0</v>
      </c>
      <c r="G1041" s="248">
        <v>2023.0</v>
      </c>
      <c r="H1041" s="248" t="s">
        <v>513</v>
      </c>
      <c r="I1041" s="248" t="s">
        <v>514</v>
      </c>
      <c r="J1041" s="248" t="s">
        <v>297</v>
      </c>
      <c r="K1041" s="249" t="s">
        <v>66</v>
      </c>
      <c r="L1041" s="257" t="s">
        <v>523</v>
      </c>
      <c r="M1041" s="249"/>
      <c r="N1041" s="249"/>
      <c r="O1041" s="249"/>
      <c r="P1041" s="249"/>
      <c r="Q1041" s="249"/>
      <c r="R1041" s="249"/>
      <c r="S1041" s="249"/>
      <c r="T1041" s="249"/>
      <c r="U1041" s="249"/>
      <c r="V1041" s="249"/>
    </row>
    <row r="1042">
      <c r="A1042" s="255" t="s">
        <v>2150</v>
      </c>
      <c r="B1042" s="248" t="s">
        <v>573</v>
      </c>
      <c r="C1042" s="248" t="s">
        <v>574</v>
      </c>
      <c r="D1042" s="248" t="s">
        <v>512</v>
      </c>
      <c r="E1042" s="248">
        <v>264197.0</v>
      </c>
      <c r="F1042" s="256">
        <v>45271.0</v>
      </c>
      <c r="G1042" s="248">
        <v>2023.0</v>
      </c>
      <c r="H1042" s="248" t="s">
        <v>513</v>
      </c>
      <c r="I1042" s="248" t="s">
        <v>514</v>
      </c>
      <c r="J1042" s="248" t="s">
        <v>297</v>
      </c>
      <c r="K1042" s="249" t="s">
        <v>66</v>
      </c>
      <c r="L1042" s="257" t="s">
        <v>523</v>
      </c>
      <c r="M1042" s="249"/>
      <c r="N1042" s="249"/>
      <c r="O1042" s="249"/>
      <c r="P1042" s="249"/>
      <c r="Q1042" s="249"/>
      <c r="R1042" s="249"/>
      <c r="S1042" s="249"/>
      <c r="T1042" s="249"/>
      <c r="U1042" s="249"/>
      <c r="V1042" s="249"/>
    </row>
    <row r="1043">
      <c r="A1043" s="255" t="s">
        <v>2151</v>
      </c>
      <c r="B1043" s="248" t="s">
        <v>542</v>
      </c>
      <c r="C1043" s="248" t="s">
        <v>543</v>
      </c>
      <c r="D1043" s="248" t="s">
        <v>512</v>
      </c>
      <c r="E1043" s="248">
        <v>19303.0</v>
      </c>
      <c r="F1043" s="256">
        <v>45268.0</v>
      </c>
      <c r="G1043" s="248">
        <v>2023.0</v>
      </c>
      <c r="H1043" s="248" t="s">
        <v>513</v>
      </c>
      <c r="I1043" s="248" t="s">
        <v>514</v>
      </c>
      <c r="J1043" s="248" t="s">
        <v>297</v>
      </c>
      <c r="K1043" s="249" t="s">
        <v>66</v>
      </c>
      <c r="L1043" s="257" t="s">
        <v>523</v>
      </c>
      <c r="M1043" s="249"/>
      <c r="N1043" s="249"/>
      <c r="O1043" s="249"/>
      <c r="P1043" s="249"/>
      <c r="Q1043" s="249"/>
      <c r="R1043" s="249"/>
      <c r="S1043" s="249"/>
      <c r="T1043" s="249"/>
      <c r="U1043" s="249"/>
      <c r="V1043" s="249"/>
    </row>
    <row r="1044">
      <c r="A1044" s="255" t="s">
        <v>2151</v>
      </c>
      <c r="B1044" s="248" t="s">
        <v>542</v>
      </c>
      <c r="C1044" s="248" t="s">
        <v>543</v>
      </c>
      <c r="D1044" s="248" t="s">
        <v>520</v>
      </c>
      <c r="E1044" s="248">
        <v>123651.0</v>
      </c>
      <c r="F1044" s="256">
        <v>45268.0</v>
      </c>
      <c r="G1044" s="248">
        <v>2023.0</v>
      </c>
      <c r="H1044" s="248" t="s">
        <v>513</v>
      </c>
      <c r="I1044" s="248" t="s">
        <v>514</v>
      </c>
      <c r="J1044" s="248" t="s">
        <v>309</v>
      </c>
      <c r="K1044" s="249" t="s">
        <v>66</v>
      </c>
      <c r="L1044" s="257" t="s">
        <v>523</v>
      </c>
      <c r="M1044" s="249"/>
      <c r="N1044" s="249"/>
      <c r="O1044" s="249"/>
      <c r="P1044" s="249"/>
      <c r="Q1044" s="249"/>
      <c r="R1044" s="249"/>
      <c r="S1044" s="249"/>
      <c r="T1044" s="249"/>
      <c r="U1044" s="249"/>
      <c r="V1044" s="249"/>
    </row>
    <row r="1045">
      <c r="A1045" s="255" t="s">
        <v>2152</v>
      </c>
      <c r="B1045" s="248" t="s">
        <v>542</v>
      </c>
      <c r="C1045" s="248" t="s">
        <v>543</v>
      </c>
      <c r="D1045" s="248" t="s">
        <v>512</v>
      </c>
      <c r="E1045" s="248">
        <v>7127.0</v>
      </c>
      <c r="F1045" s="256">
        <v>45266.0</v>
      </c>
      <c r="G1045" s="248">
        <v>2023.0</v>
      </c>
      <c r="H1045" s="248" t="s">
        <v>513</v>
      </c>
      <c r="I1045" s="248" t="s">
        <v>514</v>
      </c>
      <c r="J1045" s="248" t="s">
        <v>297</v>
      </c>
      <c r="K1045" s="249" t="s">
        <v>66</v>
      </c>
      <c r="L1045" s="257" t="s">
        <v>523</v>
      </c>
      <c r="M1045" s="249"/>
      <c r="N1045" s="249"/>
      <c r="O1045" s="249"/>
      <c r="P1045" s="249"/>
      <c r="Q1045" s="249"/>
      <c r="R1045" s="249"/>
      <c r="S1045" s="249"/>
      <c r="T1045" s="249"/>
      <c r="U1045" s="249"/>
      <c r="V1045" s="249"/>
    </row>
    <row r="1046">
      <c r="A1046" s="255" t="s">
        <v>2153</v>
      </c>
      <c r="B1046" s="248" t="s">
        <v>573</v>
      </c>
      <c r="C1046" s="248" t="s">
        <v>574</v>
      </c>
      <c r="D1046" s="248" t="s">
        <v>512</v>
      </c>
      <c r="E1046" s="248">
        <v>1111.0</v>
      </c>
      <c r="F1046" s="256">
        <v>45261.0</v>
      </c>
      <c r="G1046" s="248">
        <v>2023.0</v>
      </c>
      <c r="H1046" s="248" t="s">
        <v>513</v>
      </c>
      <c r="I1046" s="248" t="s">
        <v>514</v>
      </c>
      <c r="J1046" s="248" t="s">
        <v>297</v>
      </c>
      <c r="K1046" s="249" t="s">
        <v>66</v>
      </c>
      <c r="L1046" s="257" t="s">
        <v>523</v>
      </c>
      <c r="M1046" s="249"/>
      <c r="N1046" s="249"/>
      <c r="O1046" s="249"/>
      <c r="P1046" s="249"/>
      <c r="Q1046" s="249"/>
      <c r="R1046" s="249"/>
      <c r="S1046" s="249"/>
      <c r="T1046" s="249"/>
      <c r="U1046" s="249"/>
      <c r="V1046" s="249"/>
    </row>
    <row r="1047">
      <c r="A1047" s="255" t="s">
        <v>2154</v>
      </c>
      <c r="B1047" s="248" t="s">
        <v>542</v>
      </c>
      <c r="C1047" s="248" t="s">
        <v>543</v>
      </c>
      <c r="D1047" s="248" t="s">
        <v>575</v>
      </c>
      <c r="E1047" s="248">
        <v>3097.0</v>
      </c>
      <c r="F1047" s="256">
        <v>45260.0</v>
      </c>
      <c r="G1047" s="248">
        <v>2023.0</v>
      </c>
      <c r="H1047" s="248" t="s">
        <v>513</v>
      </c>
      <c r="I1047" s="248" t="s">
        <v>514</v>
      </c>
      <c r="J1047" s="248" t="s">
        <v>297</v>
      </c>
      <c r="K1047" s="249" t="s">
        <v>66</v>
      </c>
      <c r="L1047" s="257" t="s">
        <v>523</v>
      </c>
      <c r="M1047" s="249"/>
      <c r="N1047" s="249"/>
      <c r="O1047" s="249"/>
      <c r="P1047" s="249"/>
      <c r="Q1047" s="249"/>
      <c r="R1047" s="249"/>
      <c r="S1047" s="249"/>
      <c r="T1047" s="249"/>
      <c r="U1047" s="249"/>
      <c r="V1047" s="249"/>
    </row>
    <row r="1048">
      <c r="A1048" s="255" t="s">
        <v>2155</v>
      </c>
      <c r="B1048" s="248" t="s">
        <v>845</v>
      </c>
      <c r="C1048" s="248" t="s">
        <v>733</v>
      </c>
      <c r="D1048" s="248" t="s">
        <v>512</v>
      </c>
      <c r="E1048" s="248">
        <v>31679.0</v>
      </c>
      <c r="F1048" s="256">
        <v>45259.0</v>
      </c>
      <c r="G1048" s="248">
        <v>2023.0</v>
      </c>
      <c r="H1048" s="248" t="s">
        <v>513</v>
      </c>
      <c r="I1048" s="248" t="s">
        <v>514</v>
      </c>
      <c r="J1048" s="248" t="s">
        <v>309</v>
      </c>
      <c r="K1048" s="249" t="s">
        <v>66</v>
      </c>
      <c r="L1048" s="257" t="s">
        <v>523</v>
      </c>
      <c r="M1048" s="249"/>
      <c r="N1048" s="249"/>
      <c r="O1048" s="249"/>
      <c r="P1048" s="249"/>
      <c r="Q1048" s="249"/>
      <c r="R1048" s="249"/>
      <c r="S1048" s="249"/>
      <c r="T1048" s="249"/>
      <c r="U1048" s="249"/>
      <c r="V1048" s="249"/>
    </row>
    <row r="1049">
      <c r="A1049" s="255" t="s">
        <v>2156</v>
      </c>
      <c r="B1049" s="248" t="s">
        <v>553</v>
      </c>
      <c r="C1049" s="248" t="s">
        <v>554</v>
      </c>
      <c r="D1049" s="248" t="s">
        <v>512</v>
      </c>
      <c r="E1049" s="248">
        <v>16341.0</v>
      </c>
      <c r="F1049" s="256">
        <v>45259.0</v>
      </c>
      <c r="G1049" s="248">
        <v>2023.0</v>
      </c>
      <c r="H1049" s="248" t="s">
        <v>513</v>
      </c>
      <c r="I1049" s="248" t="s">
        <v>514</v>
      </c>
      <c r="J1049" s="248" t="s">
        <v>297</v>
      </c>
      <c r="K1049" s="249" t="s">
        <v>66</v>
      </c>
      <c r="L1049" s="257" t="s">
        <v>523</v>
      </c>
      <c r="M1049" s="249"/>
      <c r="N1049" s="249"/>
      <c r="O1049" s="249"/>
      <c r="P1049" s="249"/>
      <c r="Q1049" s="249"/>
      <c r="R1049" s="249"/>
      <c r="S1049" s="249"/>
      <c r="T1049" s="249"/>
      <c r="U1049" s="249"/>
      <c r="V1049" s="249"/>
    </row>
    <row r="1050">
      <c r="A1050" s="255" t="s">
        <v>2157</v>
      </c>
      <c r="B1050" s="248" t="s">
        <v>668</v>
      </c>
      <c r="C1050" s="248" t="s">
        <v>669</v>
      </c>
      <c r="D1050" s="248" t="s">
        <v>512</v>
      </c>
      <c r="E1050" s="248">
        <v>10853.0</v>
      </c>
      <c r="F1050" s="256">
        <v>45259.0</v>
      </c>
      <c r="G1050" s="248">
        <v>2023.0</v>
      </c>
      <c r="H1050" s="248" t="s">
        <v>513</v>
      </c>
      <c r="I1050" s="248" t="s">
        <v>514</v>
      </c>
      <c r="J1050" s="248" t="s">
        <v>297</v>
      </c>
      <c r="K1050" s="249" t="s">
        <v>66</v>
      </c>
      <c r="L1050" s="257" t="s">
        <v>523</v>
      </c>
      <c r="M1050" s="249"/>
      <c r="N1050" s="249"/>
      <c r="O1050" s="249"/>
      <c r="P1050" s="249"/>
      <c r="Q1050" s="249"/>
      <c r="R1050" s="249"/>
      <c r="S1050" s="249"/>
      <c r="T1050" s="249"/>
      <c r="U1050" s="249"/>
      <c r="V1050" s="249"/>
    </row>
    <row r="1051">
      <c r="A1051" s="255" t="s">
        <v>2158</v>
      </c>
      <c r="B1051" s="248" t="s">
        <v>679</v>
      </c>
      <c r="C1051" s="248" t="s">
        <v>663</v>
      </c>
      <c r="D1051" s="248" t="s">
        <v>512</v>
      </c>
      <c r="E1051" s="248">
        <v>10890.0</v>
      </c>
      <c r="F1051" s="256">
        <v>45257.0</v>
      </c>
      <c r="G1051" s="248">
        <v>2023.0</v>
      </c>
      <c r="H1051" s="248" t="s">
        <v>513</v>
      </c>
      <c r="I1051" s="248" t="s">
        <v>514</v>
      </c>
      <c r="J1051" s="248" t="s">
        <v>297</v>
      </c>
      <c r="K1051" s="249" t="s">
        <v>66</v>
      </c>
      <c r="L1051" s="257" t="s">
        <v>523</v>
      </c>
      <c r="M1051" s="249"/>
      <c r="N1051" s="249"/>
      <c r="O1051" s="249"/>
      <c r="P1051" s="249"/>
      <c r="Q1051" s="249"/>
      <c r="R1051" s="249"/>
      <c r="S1051" s="249"/>
      <c r="T1051" s="249"/>
      <c r="U1051" s="249"/>
      <c r="V1051" s="249"/>
    </row>
    <row r="1052">
      <c r="A1052" s="255" t="s">
        <v>2159</v>
      </c>
      <c r="B1052" s="248" t="s">
        <v>534</v>
      </c>
      <c r="C1052" s="248" t="s">
        <v>535</v>
      </c>
      <c r="D1052" s="248" t="s">
        <v>575</v>
      </c>
      <c r="E1052" s="248">
        <v>4853.0</v>
      </c>
      <c r="F1052" s="256">
        <v>45257.0</v>
      </c>
      <c r="G1052" s="248">
        <v>2023.0</v>
      </c>
      <c r="H1052" s="248" t="s">
        <v>513</v>
      </c>
      <c r="I1052" s="248" t="s">
        <v>514</v>
      </c>
      <c r="J1052" s="248" t="s">
        <v>297</v>
      </c>
      <c r="K1052" s="249" t="s">
        <v>66</v>
      </c>
      <c r="L1052" s="257" t="s">
        <v>523</v>
      </c>
      <c r="M1052" s="249"/>
      <c r="N1052" s="249"/>
      <c r="O1052" s="249"/>
      <c r="P1052" s="249"/>
      <c r="Q1052" s="249"/>
      <c r="R1052" s="249"/>
      <c r="S1052" s="249"/>
      <c r="T1052" s="249"/>
      <c r="U1052" s="249"/>
      <c r="V1052" s="249"/>
    </row>
    <row r="1053">
      <c r="A1053" s="255" t="s">
        <v>2160</v>
      </c>
      <c r="B1053" s="248" t="s">
        <v>518</v>
      </c>
      <c r="C1053" s="248" t="s">
        <v>519</v>
      </c>
      <c r="D1053" s="248" t="s">
        <v>512</v>
      </c>
      <c r="E1053" s="248">
        <v>9240.0</v>
      </c>
      <c r="F1053" s="256">
        <v>45257.0</v>
      </c>
      <c r="G1053" s="248">
        <v>2023.0</v>
      </c>
      <c r="H1053" s="248" t="s">
        <v>513</v>
      </c>
      <c r="I1053" s="248" t="s">
        <v>521</v>
      </c>
      <c r="J1053" s="248" t="s">
        <v>297</v>
      </c>
      <c r="K1053" s="249" t="s">
        <v>66</v>
      </c>
      <c r="L1053" s="257" t="s">
        <v>523</v>
      </c>
      <c r="M1053" s="249"/>
      <c r="N1053" s="249"/>
      <c r="O1053" s="249"/>
      <c r="P1053" s="249"/>
      <c r="Q1053" s="249"/>
      <c r="R1053" s="249"/>
      <c r="S1053" s="249"/>
      <c r="T1053" s="249"/>
      <c r="U1053" s="249"/>
      <c r="V1053" s="249"/>
    </row>
    <row r="1054">
      <c r="A1054" s="255" t="s">
        <v>2161</v>
      </c>
      <c r="B1054" s="248" t="s">
        <v>586</v>
      </c>
      <c r="C1054" s="248" t="s">
        <v>587</v>
      </c>
      <c r="D1054" s="248" t="s">
        <v>512</v>
      </c>
      <c r="E1054" s="248">
        <v>122488.0</v>
      </c>
      <c r="F1054" s="256">
        <v>45253.0</v>
      </c>
      <c r="G1054" s="248">
        <v>2023.0</v>
      </c>
      <c r="H1054" s="248" t="s">
        <v>513</v>
      </c>
      <c r="I1054" s="248" t="s">
        <v>514</v>
      </c>
      <c r="J1054" s="248" t="s">
        <v>297</v>
      </c>
      <c r="K1054" s="249" t="s">
        <v>66</v>
      </c>
      <c r="L1054" s="257" t="s">
        <v>523</v>
      </c>
      <c r="M1054" s="249"/>
      <c r="N1054" s="249"/>
      <c r="O1054" s="249"/>
      <c r="P1054" s="249"/>
      <c r="Q1054" s="249"/>
      <c r="R1054" s="249"/>
      <c r="S1054" s="249"/>
      <c r="T1054" s="249"/>
      <c r="U1054" s="249"/>
      <c r="V1054" s="249"/>
    </row>
    <row r="1055">
      <c r="A1055" s="255" t="s">
        <v>2162</v>
      </c>
      <c r="B1055" s="248" t="s">
        <v>956</v>
      </c>
      <c r="C1055" s="248" t="s">
        <v>680</v>
      </c>
      <c r="D1055" s="248" t="s">
        <v>520</v>
      </c>
      <c r="E1055" s="248">
        <v>1647.0</v>
      </c>
      <c r="F1055" s="256">
        <v>45252.0</v>
      </c>
      <c r="G1055" s="248">
        <v>2023.0</v>
      </c>
      <c r="H1055" s="248" t="s">
        <v>513</v>
      </c>
      <c r="I1055" s="248" t="s">
        <v>521</v>
      </c>
      <c r="J1055" s="248" t="s">
        <v>309</v>
      </c>
      <c r="K1055" s="249" t="s">
        <v>66</v>
      </c>
      <c r="L1055" s="257" t="s">
        <v>523</v>
      </c>
      <c r="M1055" s="249"/>
      <c r="N1055" s="249"/>
      <c r="O1055" s="249"/>
      <c r="P1055" s="249"/>
      <c r="Q1055" s="249"/>
      <c r="R1055" s="249"/>
      <c r="S1055" s="249"/>
      <c r="T1055" s="249"/>
      <c r="U1055" s="249"/>
      <c r="V1055" s="249"/>
    </row>
    <row r="1056">
      <c r="A1056" s="255" t="s">
        <v>2163</v>
      </c>
      <c r="B1056" s="248" t="s">
        <v>534</v>
      </c>
      <c r="C1056" s="248" t="s">
        <v>535</v>
      </c>
      <c r="D1056" s="248" t="s">
        <v>520</v>
      </c>
      <c r="E1056" s="248">
        <v>10063.0</v>
      </c>
      <c r="F1056" s="256">
        <v>45252.0</v>
      </c>
      <c r="G1056" s="248">
        <v>2023.0</v>
      </c>
      <c r="H1056" s="248" t="s">
        <v>513</v>
      </c>
      <c r="I1056" s="248" t="s">
        <v>514</v>
      </c>
      <c r="J1056" s="248" t="s">
        <v>309</v>
      </c>
      <c r="K1056" s="249" t="s">
        <v>66</v>
      </c>
      <c r="L1056" s="257" t="s">
        <v>523</v>
      </c>
      <c r="M1056" s="249"/>
      <c r="N1056" s="249"/>
      <c r="O1056" s="249"/>
      <c r="P1056" s="249"/>
      <c r="Q1056" s="249"/>
      <c r="R1056" s="249"/>
      <c r="S1056" s="249"/>
      <c r="T1056" s="249"/>
      <c r="U1056" s="249"/>
      <c r="V1056" s="249"/>
    </row>
    <row r="1057">
      <c r="A1057" s="255" t="s">
        <v>2164</v>
      </c>
      <c r="B1057" s="248" t="s">
        <v>573</v>
      </c>
      <c r="C1057" s="248" t="s">
        <v>574</v>
      </c>
      <c r="D1057" s="248" t="s">
        <v>512</v>
      </c>
      <c r="E1057" s="248">
        <v>605809.0</v>
      </c>
      <c r="F1057" s="256">
        <v>45252.0</v>
      </c>
      <c r="G1057" s="248">
        <v>2023.0</v>
      </c>
      <c r="H1057" s="248" t="s">
        <v>513</v>
      </c>
      <c r="I1057" s="248" t="s">
        <v>514</v>
      </c>
      <c r="J1057" s="248" t="s">
        <v>297</v>
      </c>
      <c r="K1057" s="249" t="s">
        <v>66</v>
      </c>
      <c r="L1057" s="257" t="s">
        <v>523</v>
      </c>
      <c r="M1057" s="249"/>
      <c r="N1057" s="249"/>
      <c r="O1057" s="249"/>
      <c r="P1057" s="249"/>
      <c r="Q1057" s="249"/>
      <c r="R1057" s="249"/>
      <c r="S1057" s="249"/>
      <c r="T1057" s="249"/>
      <c r="U1057" s="249"/>
      <c r="V1057" s="249"/>
    </row>
    <row r="1058">
      <c r="A1058" s="255" t="s">
        <v>2165</v>
      </c>
      <c r="B1058" s="248" t="s">
        <v>705</v>
      </c>
      <c r="C1058" s="248" t="s">
        <v>706</v>
      </c>
      <c r="D1058" s="248" t="s">
        <v>512</v>
      </c>
      <c r="E1058" s="248">
        <v>12677.0</v>
      </c>
      <c r="F1058" s="256">
        <v>45251.0</v>
      </c>
      <c r="G1058" s="248">
        <v>2023.0</v>
      </c>
      <c r="H1058" s="248" t="s">
        <v>513</v>
      </c>
      <c r="I1058" s="248" t="s">
        <v>514</v>
      </c>
      <c r="J1058" s="248" t="s">
        <v>297</v>
      </c>
      <c r="K1058" s="249" t="s">
        <v>66</v>
      </c>
      <c r="L1058" s="257" t="s">
        <v>523</v>
      </c>
      <c r="M1058" s="249"/>
      <c r="N1058" s="249"/>
      <c r="O1058" s="249"/>
      <c r="P1058" s="249"/>
      <c r="Q1058" s="249"/>
      <c r="R1058" s="249"/>
      <c r="S1058" s="249"/>
      <c r="T1058" s="249"/>
      <c r="U1058" s="249"/>
      <c r="V1058" s="249"/>
    </row>
    <row r="1059">
      <c r="A1059" s="255" t="s">
        <v>2166</v>
      </c>
      <c r="B1059" s="248" t="s">
        <v>924</v>
      </c>
      <c r="C1059" s="248" t="s">
        <v>725</v>
      </c>
      <c r="D1059" s="248" t="s">
        <v>520</v>
      </c>
      <c r="E1059" s="248">
        <v>16113.0</v>
      </c>
      <c r="F1059" s="256">
        <v>45251.0</v>
      </c>
      <c r="G1059" s="248">
        <v>2023.0</v>
      </c>
      <c r="H1059" s="248" t="s">
        <v>513</v>
      </c>
      <c r="I1059" s="248" t="s">
        <v>514</v>
      </c>
      <c r="J1059" s="248" t="s">
        <v>309</v>
      </c>
      <c r="K1059" s="249" t="s">
        <v>66</v>
      </c>
      <c r="L1059" s="257" t="s">
        <v>523</v>
      </c>
      <c r="M1059" s="249"/>
      <c r="N1059" s="249"/>
      <c r="O1059" s="249"/>
      <c r="P1059" s="249"/>
      <c r="Q1059" s="249"/>
      <c r="R1059" s="249"/>
      <c r="S1059" s="249"/>
      <c r="T1059" s="249"/>
      <c r="U1059" s="249"/>
      <c r="V1059" s="249"/>
    </row>
    <row r="1060">
      <c r="A1060" s="255" t="s">
        <v>2167</v>
      </c>
      <c r="B1060" s="248" t="s">
        <v>538</v>
      </c>
      <c r="C1060" s="248" t="s">
        <v>539</v>
      </c>
      <c r="D1060" s="248" t="s">
        <v>520</v>
      </c>
      <c r="E1060" s="248">
        <v>1477.0</v>
      </c>
      <c r="F1060" s="256">
        <v>45250.0</v>
      </c>
      <c r="G1060" s="248">
        <v>2023.0</v>
      </c>
      <c r="H1060" s="248" t="s">
        <v>513</v>
      </c>
      <c r="I1060" s="248" t="s">
        <v>514</v>
      </c>
      <c r="J1060" s="248" t="s">
        <v>309</v>
      </c>
      <c r="K1060" s="249" t="s">
        <v>66</v>
      </c>
      <c r="L1060" s="257" t="s">
        <v>523</v>
      </c>
      <c r="M1060" s="249"/>
      <c r="N1060" s="249"/>
      <c r="O1060" s="249"/>
      <c r="P1060" s="249"/>
      <c r="Q1060" s="249"/>
      <c r="R1060" s="249"/>
      <c r="S1060" s="249"/>
      <c r="T1060" s="249"/>
      <c r="U1060" s="249"/>
      <c r="V1060" s="249"/>
    </row>
    <row r="1061">
      <c r="A1061" s="255" t="s">
        <v>2168</v>
      </c>
      <c r="B1061" s="248" t="s">
        <v>748</v>
      </c>
      <c r="C1061" s="248" t="s">
        <v>694</v>
      </c>
      <c r="D1061" s="248" t="s">
        <v>512</v>
      </c>
      <c r="E1061" s="248">
        <v>40000.0</v>
      </c>
      <c r="F1061" s="256">
        <v>45247.0</v>
      </c>
      <c r="G1061" s="248">
        <v>2023.0</v>
      </c>
      <c r="H1061" s="248" t="s">
        <v>513</v>
      </c>
      <c r="I1061" s="248" t="s">
        <v>514</v>
      </c>
      <c r="J1061" s="248" t="s">
        <v>297</v>
      </c>
      <c r="K1061" s="249" t="s">
        <v>66</v>
      </c>
      <c r="L1061" s="257" t="s">
        <v>523</v>
      </c>
      <c r="M1061" s="249"/>
      <c r="N1061" s="249"/>
      <c r="O1061" s="249"/>
      <c r="P1061" s="249"/>
      <c r="Q1061" s="249"/>
      <c r="R1061" s="249"/>
      <c r="S1061" s="249"/>
      <c r="T1061" s="249"/>
      <c r="U1061" s="249"/>
      <c r="V1061" s="249"/>
    </row>
    <row r="1062">
      <c r="A1062" s="255" t="s">
        <v>2169</v>
      </c>
      <c r="B1062" s="248" t="s">
        <v>1440</v>
      </c>
      <c r="C1062" s="248" t="s">
        <v>762</v>
      </c>
      <c r="D1062" s="248" t="s">
        <v>512</v>
      </c>
      <c r="E1062" s="248">
        <v>1523.0</v>
      </c>
      <c r="F1062" s="256">
        <v>45247.0</v>
      </c>
      <c r="G1062" s="248">
        <v>2023.0</v>
      </c>
      <c r="H1062" s="248" t="s">
        <v>513</v>
      </c>
      <c r="I1062" s="248" t="s">
        <v>514</v>
      </c>
      <c r="J1062" s="248" t="s">
        <v>297</v>
      </c>
      <c r="K1062" s="249" t="s">
        <v>66</v>
      </c>
      <c r="L1062" s="257" t="s">
        <v>523</v>
      </c>
      <c r="M1062" s="249"/>
      <c r="N1062" s="249"/>
      <c r="O1062" s="249"/>
      <c r="P1062" s="249"/>
      <c r="Q1062" s="249"/>
      <c r="R1062" s="249"/>
      <c r="S1062" s="249"/>
      <c r="T1062" s="249"/>
      <c r="U1062" s="249"/>
      <c r="V1062" s="249"/>
    </row>
    <row r="1063">
      <c r="A1063" s="255" t="s">
        <v>2095</v>
      </c>
      <c r="B1063" s="248" t="s">
        <v>538</v>
      </c>
      <c r="C1063" s="248" t="s">
        <v>539</v>
      </c>
      <c r="D1063" s="248" t="s">
        <v>512</v>
      </c>
      <c r="E1063" s="248">
        <v>2271.0</v>
      </c>
      <c r="F1063" s="256">
        <v>45247.0</v>
      </c>
      <c r="G1063" s="248">
        <v>2023.0</v>
      </c>
      <c r="H1063" s="248" t="s">
        <v>513</v>
      </c>
      <c r="I1063" s="248" t="s">
        <v>1300</v>
      </c>
      <c r="J1063" s="248" t="s">
        <v>297</v>
      </c>
      <c r="K1063" s="249" t="s">
        <v>66</v>
      </c>
      <c r="L1063" s="257" t="s">
        <v>523</v>
      </c>
      <c r="M1063" s="249"/>
      <c r="N1063" s="249"/>
      <c r="O1063" s="249"/>
      <c r="P1063" s="249"/>
      <c r="Q1063" s="249"/>
      <c r="R1063" s="249"/>
      <c r="S1063" s="249"/>
      <c r="T1063" s="249"/>
      <c r="U1063" s="249"/>
      <c r="V1063" s="249"/>
    </row>
    <row r="1064">
      <c r="A1064" s="255" t="s">
        <v>2170</v>
      </c>
      <c r="B1064" s="248" t="s">
        <v>611</v>
      </c>
      <c r="C1064" s="248" t="s">
        <v>612</v>
      </c>
      <c r="D1064" s="248" t="s">
        <v>512</v>
      </c>
      <c r="E1064" s="248">
        <v>18255.0</v>
      </c>
      <c r="F1064" s="256">
        <v>45247.0</v>
      </c>
      <c r="G1064" s="248">
        <v>2023.0</v>
      </c>
      <c r="H1064" s="248" t="s">
        <v>513</v>
      </c>
      <c r="I1064" s="248" t="s">
        <v>514</v>
      </c>
      <c r="J1064" s="248" t="s">
        <v>297</v>
      </c>
      <c r="K1064" s="249" t="s">
        <v>66</v>
      </c>
      <c r="L1064" s="257" t="s">
        <v>523</v>
      </c>
      <c r="M1064" s="249"/>
      <c r="N1064" s="249"/>
      <c r="O1064" s="249"/>
      <c r="P1064" s="249"/>
      <c r="Q1064" s="249"/>
      <c r="R1064" s="249"/>
      <c r="S1064" s="249"/>
      <c r="T1064" s="249"/>
      <c r="U1064" s="249"/>
      <c r="V1064" s="249"/>
    </row>
    <row r="1065">
      <c r="A1065" s="255" t="s">
        <v>2171</v>
      </c>
      <c r="B1065" s="248" t="s">
        <v>573</v>
      </c>
      <c r="C1065" s="248" t="s">
        <v>574</v>
      </c>
      <c r="D1065" s="248" t="s">
        <v>512</v>
      </c>
      <c r="E1065" s="248">
        <v>26000.0</v>
      </c>
      <c r="F1065" s="256">
        <v>45246.0</v>
      </c>
      <c r="G1065" s="248">
        <v>2023.0</v>
      </c>
      <c r="H1065" s="248" t="s">
        <v>513</v>
      </c>
      <c r="I1065" s="248" t="s">
        <v>514</v>
      </c>
      <c r="J1065" s="248" t="s">
        <v>297</v>
      </c>
      <c r="K1065" s="249" t="s">
        <v>66</v>
      </c>
      <c r="L1065" s="257" t="s">
        <v>523</v>
      </c>
      <c r="M1065" s="249"/>
      <c r="N1065" s="249"/>
      <c r="O1065" s="249"/>
      <c r="P1065" s="249"/>
      <c r="Q1065" s="249"/>
      <c r="R1065" s="249"/>
      <c r="S1065" s="249"/>
      <c r="T1065" s="249"/>
      <c r="U1065" s="249"/>
      <c r="V1065" s="249"/>
    </row>
    <row r="1066">
      <c r="A1066" s="255" t="s">
        <v>2172</v>
      </c>
      <c r="B1066" s="248" t="s">
        <v>586</v>
      </c>
      <c r="C1066" s="248" t="s">
        <v>587</v>
      </c>
      <c r="D1066" s="248" t="s">
        <v>520</v>
      </c>
      <c r="E1066" s="248">
        <v>1097.0</v>
      </c>
      <c r="F1066" s="256">
        <v>45245.0</v>
      </c>
      <c r="G1066" s="248">
        <v>2023.0</v>
      </c>
      <c r="H1066" s="248" t="s">
        <v>513</v>
      </c>
      <c r="I1066" s="248" t="s">
        <v>514</v>
      </c>
      <c r="J1066" s="248" t="s">
        <v>309</v>
      </c>
      <c r="K1066" s="249" t="s">
        <v>66</v>
      </c>
      <c r="L1066" s="257" t="s">
        <v>523</v>
      </c>
      <c r="M1066" s="249"/>
      <c r="N1066" s="249"/>
      <c r="O1066" s="249"/>
      <c r="P1066" s="249"/>
      <c r="Q1066" s="249"/>
      <c r="R1066" s="249"/>
      <c r="S1066" s="249"/>
      <c r="T1066" s="249"/>
      <c r="U1066" s="249"/>
      <c r="V1066" s="249"/>
    </row>
    <row r="1067">
      <c r="A1067" s="255" t="s">
        <v>2173</v>
      </c>
      <c r="B1067" s="248" t="s">
        <v>1440</v>
      </c>
      <c r="C1067" s="248" t="s">
        <v>762</v>
      </c>
      <c r="D1067" s="248" t="s">
        <v>512</v>
      </c>
      <c r="E1067" s="248">
        <v>6691.0</v>
      </c>
      <c r="F1067" s="256">
        <v>45240.0</v>
      </c>
      <c r="G1067" s="248">
        <v>2023.0</v>
      </c>
      <c r="H1067" s="248" t="s">
        <v>513</v>
      </c>
      <c r="I1067" s="248" t="s">
        <v>514</v>
      </c>
      <c r="J1067" s="248" t="s">
        <v>297</v>
      </c>
      <c r="K1067" s="249" t="s">
        <v>66</v>
      </c>
      <c r="L1067" s="257" t="s">
        <v>523</v>
      </c>
      <c r="M1067" s="249"/>
      <c r="N1067" s="249"/>
      <c r="O1067" s="249"/>
      <c r="P1067" s="249"/>
      <c r="Q1067" s="249"/>
      <c r="R1067" s="249"/>
      <c r="S1067" s="249"/>
      <c r="T1067" s="249"/>
      <c r="U1067" s="249"/>
      <c r="V1067" s="249"/>
    </row>
    <row r="1068">
      <c r="A1068" s="255" t="s">
        <v>2174</v>
      </c>
      <c r="B1068" s="248" t="s">
        <v>688</v>
      </c>
      <c r="C1068" s="248" t="s">
        <v>683</v>
      </c>
      <c r="D1068" s="248" t="s">
        <v>512</v>
      </c>
      <c r="E1068" s="248">
        <v>168921.0</v>
      </c>
      <c r="F1068" s="256">
        <v>45239.0</v>
      </c>
      <c r="G1068" s="248">
        <v>2023.0</v>
      </c>
      <c r="H1068" s="248" t="s">
        <v>513</v>
      </c>
      <c r="I1068" s="248" t="s">
        <v>514</v>
      </c>
      <c r="J1068" s="248" t="s">
        <v>297</v>
      </c>
      <c r="K1068" s="249" t="s">
        <v>66</v>
      </c>
      <c r="L1068" s="257" t="s">
        <v>523</v>
      </c>
      <c r="M1068" s="249"/>
      <c r="N1068" s="249"/>
      <c r="O1068" s="249"/>
      <c r="P1068" s="249"/>
      <c r="Q1068" s="249"/>
      <c r="R1068" s="249"/>
      <c r="S1068" s="249"/>
      <c r="T1068" s="249"/>
      <c r="U1068" s="249"/>
      <c r="V1068" s="249"/>
    </row>
    <row r="1069">
      <c r="A1069" s="255" t="s">
        <v>2175</v>
      </c>
      <c r="B1069" s="248" t="s">
        <v>705</v>
      </c>
      <c r="C1069" s="248" t="s">
        <v>706</v>
      </c>
      <c r="D1069" s="248" t="s">
        <v>512</v>
      </c>
      <c r="E1069" s="248">
        <v>1756.0</v>
      </c>
      <c r="F1069" s="256">
        <v>45238.0</v>
      </c>
      <c r="G1069" s="248">
        <v>2023.0</v>
      </c>
      <c r="H1069" s="248" t="s">
        <v>513</v>
      </c>
      <c r="I1069" s="248" t="s">
        <v>514</v>
      </c>
      <c r="J1069" s="248" t="s">
        <v>297</v>
      </c>
      <c r="K1069" s="249" t="s">
        <v>66</v>
      </c>
      <c r="L1069" s="257" t="s">
        <v>523</v>
      </c>
      <c r="M1069" s="249"/>
      <c r="N1069" s="249"/>
      <c r="O1069" s="249"/>
      <c r="P1069" s="249"/>
      <c r="Q1069" s="249"/>
      <c r="R1069" s="249"/>
      <c r="S1069" s="249"/>
      <c r="T1069" s="249"/>
      <c r="U1069" s="249"/>
      <c r="V1069" s="249"/>
    </row>
    <row r="1070">
      <c r="A1070" s="255" t="s">
        <v>2176</v>
      </c>
      <c r="B1070" s="248" t="s">
        <v>1039</v>
      </c>
      <c r="C1070" s="248" t="s">
        <v>686</v>
      </c>
      <c r="D1070" s="248" t="s">
        <v>512</v>
      </c>
      <c r="E1070" s="248">
        <v>13129.0</v>
      </c>
      <c r="F1070" s="256">
        <v>45237.0</v>
      </c>
      <c r="G1070" s="248">
        <v>2023.0</v>
      </c>
      <c r="H1070" s="248" t="s">
        <v>513</v>
      </c>
      <c r="I1070" s="248" t="s">
        <v>514</v>
      </c>
      <c r="J1070" s="248" t="s">
        <v>297</v>
      </c>
      <c r="K1070" s="249" t="s">
        <v>66</v>
      </c>
      <c r="L1070" s="257" t="s">
        <v>523</v>
      </c>
      <c r="M1070" s="249"/>
      <c r="N1070" s="249"/>
      <c r="O1070" s="249"/>
      <c r="P1070" s="249"/>
      <c r="Q1070" s="249"/>
      <c r="R1070" s="249"/>
      <c r="S1070" s="249"/>
      <c r="T1070" s="249"/>
      <c r="U1070" s="249"/>
      <c r="V1070" s="249"/>
    </row>
    <row r="1071">
      <c r="A1071" s="255" t="s">
        <v>2177</v>
      </c>
      <c r="B1071" s="248" t="s">
        <v>586</v>
      </c>
      <c r="C1071" s="248" t="s">
        <v>587</v>
      </c>
      <c r="D1071" s="248" t="s">
        <v>512</v>
      </c>
      <c r="E1071" s="248">
        <v>6832.0</v>
      </c>
      <c r="F1071" s="256">
        <v>45236.0</v>
      </c>
      <c r="G1071" s="248">
        <v>2023.0</v>
      </c>
      <c r="H1071" s="248" t="s">
        <v>513</v>
      </c>
      <c r="I1071" s="248" t="s">
        <v>514</v>
      </c>
      <c r="J1071" s="248" t="s">
        <v>297</v>
      </c>
      <c r="K1071" s="249" t="s">
        <v>66</v>
      </c>
      <c r="L1071" s="257" t="s">
        <v>523</v>
      </c>
      <c r="M1071" s="249"/>
      <c r="N1071" s="249"/>
      <c r="O1071" s="249"/>
      <c r="P1071" s="249"/>
      <c r="Q1071" s="249"/>
      <c r="R1071" s="249"/>
      <c r="S1071" s="249"/>
      <c r="T1071" s="249"/>
      <c r="U1071" s="249"/>
      <c r="V1071" s="249"/>
    </row>
    <row r="1072">
      <c r="A1072" s="255" t="s">
        <v>2178</v>
      </c>
      <c r="B1072" s="248" t="s">
        <v>564</v>
      </c>
      <c r="C1072" s="248" t="s">
        <v>565</v>
      </c>
      <c r="D1072" s="248" t="s">
        <v>520</v>
      </c>
      <c r="E1072" s="248">
        <v>1000.0</v>
      </c>
      <c r="F1072" s="256">
        <v>45236.0</v>
      </c>
      <c r="G1072" s="248">
        <v>2023.0</v>
      </c>
      <c r="H1072" s="248" t="s">
        <v>513</v>
      </c>
      <c r="I1072" s="248" t="s">
        <v>514</v>
      </c>
      <c r="J1072" s="248" t="s">
        <v>309</v>
      </c>
      <c r="K1072" s="249" t="s">
        <v>66</v>
      </c>
      <c r="L1072" s="257" t="s">
        <v>523</v>
      </c>
      <c r="M1072" s="249"/>
      <c r="N1072" s="249"/>
      <c r="O1072" s="249"/>
      <c r="P1072" s="249"/>
      <c r="Q1072" s="249"/>
      <c r="R1072" s="249"/>
      <c r="S1072" s="249"/>
      <c r="T1072" s="249"/>
      <c r="U1072" s="249"/>
      <c r="V1072" s="249"/>
    </row>
    <row r="1073">
      <c r="A1073" s="255" t="s">
        <v>2179</v>
      </c>
      <c r="B1073" s="248" t="s">
        <v>679</v>
      </c>
      <c r="C1073" s="248" t="s">
        <v>663</v>
      </c>
      <c r="D1073" s="248" t="s">
        <v>512</v>
      </c>
      <c r="E1073" s="248">
        <v>100643.0</v>
      </c>
      <c r="F1073" s="256">
        <v>45233.0</v>
      </c>
      <c r="G1073" s="248">
        <v>2023.0</v>
      </c>
      <c r="H1073" s="248" t="s">
        <v>513</v>
      </c>
      <c r="I1073" s="248" t="s">
        <v>514</v>
      </c>
      <c r="J1073" s="248" t="s">
        <v>309</v>
      </c>
      <c r="K1073" s="249" t="s">
        <v>66</v>
      </c>
      <c r="L1073" s="257" t="s">
        <v>523</v>
      </c>
      <c r="M1073" s="249"/>
      <c r="N1073" s="249"/>
      <c r="O1073" s="249"/>
      <c r="P1073" s="249"/>
      <c r="Q1073" s="249"/>
      <c r="R1073" s="249"/>
      <c r="S1073" s="249"/>
      <c r="T1073" s="249"/>
      <c r="U1073" s="249"/>
      <c r="V1073" s="249"/>
    </row>
    <row r="1074">
      <c r="A1074" s="255" t="s">
        <v>2180</v>
      </c>
      <c r="B1074" s="248" t="s">
        <v>641</v>
      </c>
      <c r="C1074" s="248" t="s">
        <v>633</v>
      </c>
      <c r="D1074" s="248" t="s">
        <v>512</v>
      </c>
      <c r="E1074" s="248">
        <v>1380.0</v>
      </c>
      <c r="F1074" s="256">
        <v>45233.0</v>
      </c>
      <c r="G1074" s="248">
        <v>2023.0</v>
      </c>
      <c r="H1074" s="248" t="s">
        <v>513</v>
      </c>
      <c r="I1074" s="248" t="s">
        <v>514</v>
      </c>
      <c r="J1074" s="248" t="s">
        <v>297</v>
      </c>
      <c r="K1074" s="249" t="s">
        <v>66</v>
      </c>
      <c r="L1074" s="257" t="s">
        <v>523</v>
      </c>
      <c r="M1074" s="249"/>
      <c r="N1074" s="249"/>
      <c r="O1074" s="249"/>
      <c r="P1074" s="249"/>
      <c r="Q1074" s="249"/>
      <c r="R1074" s="249"/>
      <c r="S1074" s="249"/>
      <c r="T1074" s="249"/>
      <c r="U1074" s="249"/>
      <c r="V1074" s="249"/>
    </row>
    <row r="1075">
      <c r="A1075" s="255" t="s">
        <v>2181</v>
      </c>
      <c r="B1075" s="248" t="s">
        <v>810</v>
      </c>
      <c r="C1075" s="248" t="s">
        <v>655</v>
      </c>
      <c r="D1075" s="248" t="s">
        <v>520</v>
      </c>
      <c r="E1075" s="248">
        <v>20045.0</v>
      </c>
      <c r="F1075" s="256">
        <v>45233.0</v>
      </c>
      <c r="G1075" s="248">
        <v>2023.0</v>
      </c>
      <c r="H1075" s="248" t="s">
        <v>513</v>
      </c>
      <c r="I1075" s="248" t="s">
        <v>514</v>
      </c>
      <c r="J1075" s="248" t="s">
        <v>309</v>
      </c>
      <c r="K1075" s="249" t="s">
        <v>66</v>
      </c>
      <c r="L1075" s="257" t="s">
        <v>523</v>
      </c>
      <c r="M1075" s="249"/>
      <c r="N1075" s="249"/>
      <c r="O1075" s="249"/>
      <c r="P1075" s="249"/>
      <c r="Q1075" s="249"/>
      <c r="R1075" s="249"/>
      <c r="S1075" s="249"/>
      <c r="T1075" s="249"/>
      <c r="U1075" s="249"/>
      <c r="V1075" s="249"/>
    </row>
    <row r="1076">
      <c r="A1076" s="255" t="s">
        <v>2182</v>
      </c>
      <c r="B1076" s="248" t="s">
        <v>578</v>
      </c>
      <c r="C1076" s="248" t="s">
        <v>579</v>
      </c>
      <c r="D1076" s="248" t="s">
        <v>512</v>
      </c>
      <c r="E1076" s="248">
        <v>79582.0</v>
      </c>
      <c r="F1076" s="256">
        <v>45233.0</v>
      </c>
      <c r="G1076" s="248">
        <v>2023.0</v>
      </c>
      <c r="H1076" s="248" t="s">
        <v>513</v>
      </c>
      <c r="I1076" s="248" t="s">
        <v>514</v>
      </c>
      <c r="J1076" s="248" t="s">
        <v>297</v>
      </c>
      <c r="K1076" s="249" t="s">
        <v>66</v>
      </c>
      <c r="L1076" s="257" t="s">
        <v>523</v>
      </c>
      <c r="M1076" s="249"/>
      <c r="N1076" s="249"/>
      <c r="O1076" s="249"/>
      <c r="P1076" s="249"/>
      <c r="Q1076" s="249"/>
      <c r="R1076" s="249"/>
      <c r="S1076" s="249"/>
      <c r="T1076" s="249"/>
      <c r="U1076" s="249"/>
      <c r="V1076" s="249"/>
    </row>
    <row r="1077">
      <c r="A1077" s="255" t="s">
        <v>2183</v>
      </c>
      <c r="B1077" s="248" t="s">
        <v>530</v>
      </c>
      <c r="C1077" s="248" t="s">
        <v>531</v>
      </c>
      <c r="D1077" s="248" t="s">
        <v>512</v>
      </c>
      <c r="E1077" s="248">
        <v>2364359.0</v>
      </c>
      <c r="F1077" s="256">
        <v>45229.0</v>
      </c>
      <c r="G1077" s="248">
        <v>2023.0</v>
      </c>
      <c r="H1077" s="248" t="s">
        <v>513</v>
      </c>
      <c r="I1077" s="248" t="s">
        <v>514</v>
      </c>
      <c r="J1077" s="248" t="s">
        <v>309</v>
      </c>
      <c r="K1077" s="249" t="s">
        <v>66</v>
      </c>
      <c r="L1077" s="257" t="s">
        <v>523</v>
      </c>
      <c r="M1077" s="249"/>
      <c r="N1077" s="249"/>
      <c r="O1077" s="249"/>
      <c r="P1077" s="249"/>
      <c r="Q1077" s="249"/>
      <c r="R1077" s="249"/>
      <c r="S1077" s="249"/>
      <c r="T1077" s="249"/>
      <c r="U1077" s="249"/>
      <c r="V1077" s="249"/>
    </row>
    <row r="1078">
      <c r="A1078" s="255" t="s">
        <v>2184</v>
      </c>
      <c r="B1078" s="248" t="s">
        <v>679</v>
      </c>
      <c r="C1078" s="248" t="s">
        <v>663</v>
      </c>
      <c r="D1078" s="248" t="s">
        <v>512</v>
      </c>
      <c r="E1078" s="248">
        <v>1670.0</v>
      </c>
      <c r="F1078" s="256">
        <v>45229.0</v>
      </c>
      <c r="G1078" s="248">
        <v>2023.0</v>
      </c>
      <c r="H1078" s="248" t="s">
        <v>513</v>
      </c>
      <c r="I1078" s="248" t="s">
        <v>521</v>
      </c>
      <c r="J1078" s="248" t="s">
        <v>297</v>
      </c>
      <c r="K1078" s="249" t="s">
        <v>66</v>
      </c>
      <c r="L1078" s="257" t="s">
        <v>523</v>
      </c>
      <c r="M1078" s="249"/>
      <c r="N1078" s="249"/>
      <c r="O1078" s="249"/>
      <c r="P1078" s="249"/>
      <c r="Q1078" s="249"/>
      <c r="R1078" s="249"/>
      <c r="S1078" s="249"/>
      <c r="T1078" s="249"/>
      <c r="U1078" s="249"/>
      <c r="V1078" s="249"/>
    </row>
    <row r="1079">
      <c r="A1079" s="255" t="s">
        <v>2185</v>
      </c>
      <c r="B1079" s="248" t="s">
        <v>956</v>
      </c>
      <c r="C1079" s="248" t="s">
        <v>680</v>
      </c>
      <c r="D1079" s="248" t="s">
        <v>520</v>
      </c>
      <c r="E1079" s="248">
        <v>5100.0</v>
      </c>
      <c r="F1079" s="256">
        <v>45228.0</v>
      </c>
      <c r="G1079" s="248">
        <v>2023.0</v>
      </c>
      <c r="H1079" s="248" t="s">
        <v>513</v>
      </c>
      <c r="I1079" s="248" t="s">
        <v>514</v>
      </c>
      <c r="J1079" s="248" t="s">
        <v>309</v>
      </c>
      <c r="K1079" s="249" t="s">
        <v>66</v>
      </c>
      <c r="L1079" s="257" t="s">
        <v>523</v>
      </c>
      <c r="M1079" s="249"/>
      <c r="N1079" s="249"/>
      <c r="O1079" s="249"/>
      <c r="P1079" s="249"/>
      <c r="Q1079" s="249"/>
      <c r="R1079" s="249"/>
      <c r="S1079" s="249"/>
      <c r="T1079" s="249"/>
      <c r="U1079" s="249"/>
      <c r="V1079" s="249"/>
    </row>
    <row r="1080">
      <c r="A1080" s="255" t="s">
        <v>2186</v>
      </c>
      <c r="B1080" s="248" t="s">
        <v>586</v>
      </c>
      <c r="C1080" s="248" t="s">
        <v>587</v>
      </c>
      <c r="D1080" s="248" t="s">
        <v>520</v>
      </c>
      <c r="E1080" s="248">
        <v>8099.0</v>
      </c>
      <c r="F1080" s="256">
        <v>45226.0</v>
      </c>
      <c r="G1080" s="248">
        <v>2023.0</v>
      </c>
      <c r="H1080" s="248" t="s">
        <v>513</v>
      </c>
      <c r="I1080" s="248" t="s">
        <v>514</v>
      </c>
      <c r="J1080" s="248" t="s">
        <v>309</v>
      </c>
      <c r="K1080" s="249" t="s">
        <v>66</v>
      </c>
      <c r="L1080" s="257" t="s">
        <v>523</v>
      </c>
      <c r="M1080" s="249"/>
      <c r="N1080" s="249"/>
      <c r="O1080" s="249"/>
      <c r="P1080" s="249"/>
      <c r="Q1080" s="249"/>
      <c r="R1080" s="249"/>
      <c r="S1080" s="249"/>
      <c r="T1080" s="249"/>
      <c r="U1080" s="249"/>
      <c r="V1080" s="249"/>
    </row>
    <row r="1081">
      <c r="A1081" s="255" t="s">
        <v>2187</v>
      </c>
      <c r="B1081" s="248" t="s">
        <v>924</v>
      </c>
      <c r="C1081" s="248" t="s">
        <v>725</v>
      </c>
      <c r="D1081" s="248" t="s">
        <v>512</v>
      </c>
      <c r="E1081" s="248">
        <v>61033.0</v>
      </c>
      <c r="F1081" s="256">
        <v>45222.0</v>
      </c>
      <c r="G1081" s="248">
        <v>2023.0</v>
      </c>
      <c r="H1081" s="248" t="s">
        <v>513</v>
      </c>
      <c r="I1081" s="248" t="s">
        <v>514</v>
      </c>
      <c r="J1081" s="248" t="s">
        <v>297</v>
      </c>
      <c r="K1081" s="249" t="s">
        <v>66</v>
      </c>
      <c r="L1081" s="257" t="s">
        <v>523</v>
      </c>
      <c r="M1081" s="249"/>
      <c r="N1081" s="249"/>
      <c r="O1081" s="249"/>
      <c r="P1081" s="249"/>
      <c r="Q1081" s="249"/>
      <c r="R1081" s="249"/>
      <c r="S1081" s="249"/>
      <c r="T1081" s="249"/>
      <c r="U1081" s="249"/>
      <c r="V1081" s="249"/>
    </row>
    <row r="1082">
      <c r="A1082" s="255" t="s">
        <v>2188</v>
      </c>
      <c r="B1082" s="248" t="s">
        <v>582</v>
      </c>
      <c r="C1082" s="248" t="s">
        <v>583</v>
      </c>
      <c r="D1082" s="248" t="s">
        <v>512</v>
      </c>
      <c r="E1082" s="248">
        <v>39759.0</v>
      </c>
      <c r="F1082" s="256">
        <v>45219.0</v>
      </c>
      <c r="G1082" s="248">
        <v>2023.0</v>
      </c>
      <c r="H1082" s="248" t="s">
        <v>513</v>
      </c>
      <c r="I1082" s="248" t="s">
        <v>514</v>
      </c>
      <c r="J1082" s="248" t="s">
        <v>297</v>
      </c>
      <c r="K1082" s="249" t="s">
        <v>66</v>
      </c>
      <c r="L1082" s="257" t="s">
        <v>523</v>
      </c>
      <c r="M1082" s="249"/>
      <c r="N1082" s="249"/>
      <c r="O1082" s="249"/>
      <c r="P1082" s="249"/>
      <c r="Q1082" s="249"/>
      <c r="R1082" s="249"/>
      <c r="S1082" s="249"/>
      <c r="T1082" s="249"/>
      <c r="U1082" s="249"/>
      <c r="V1082" s="249"/>
    </row>
    <row r="1083">
      <c r="A1083" s="255" t="s">
        <v>2189</v>
      </c>
      <c r="B1083" s="248" t="s">
        <v>586</v>
      </c>
      <c r="C1083" s="248" t="s">
        <v>587</v>
      </c>
      <c r="D1083" s="248" t="s">
        <v>512</v>
      </c>
      <c r="E1083" s="248">
        <v>16598.0</v>
      </c>
      <c r="F1083" s="256">
        <v>45218.0</v>
      </c>
      <c r="G1083" s="248">
        <v>2023.0</v>
      </c>
      <c r="H1083" s="248" t="s">
        <v>513</v>
      </c>
      <c r="I1083" s="248" t="s">
        <v>514</v>
      </c>
      <c r="J1083" s="248" t="s">
        <v>309</v>
      </c>
      <c r="K1083" s="249" t="s">
        <v>66</v>
      </c>
      <c r="L1083" s="257" t="s">
        <v>523</v>
      </c>
      <c r="M1083" s="249"/>
      <c r="N1083" s="249"/>
      <c r="O1083" s="249"/>
      <c r="P1083" s="249"/>
      <c r="Q1083" s="249"/>
      <c r="R1083" s="249"/>
      <c r="S1083" s="249"/>
      <c r="T1083" s="249"/>
      <c r="U1083" s="249"/>
      <c r="V1083" s="249"/>
    </row>
    <row r="1084">
      <c r="A1084" s="255" t="s">
        <v>2190</v>
      </c>
      <c r="B1084" s="248" t="s">
        <v>590</v>
      </c>
      <c r="C1084" s="248" t="s">
        <v>591</v>
      </c>
      <c r="D1084" s="248" t="s">
        <v>575</v>
      </c>
      <c r="E1084" s="248">
        <v>4049.0</v>
      </c>
      <c r="F1084" s="256">
        <v>45217.0</v>
      </c>
      <c r="G1084" s="248">
        <v>2023.0</v>
      </c>
      <c r="H1084" s="248" t="s">
        <v>513</v>
      </c>
      <c r="I1084" s="248" t="s">
        <v>514</v>
      </c>
      <c r="J1084" s="248" t="s">
        <v>297</v>
      </c>
      <c r="K1084" s="249" t="s">
        <v>66</v>
      </c>
      <c r="L1084" s="257" t="s">
        <v>523</v>
      </c>
      <c r="M1084" s="249"/>
      <c r="N1084" s="249"/>
      <c r="O1084" s="249"/>
      <c r="P1084" s="249"/>
      <c r="Q1084" s="249"/>
      <c r="R1084" s="249"/>
      <c r="S1084" s="249"/>
      <c r="T1084" s="249"/>
      <c r="U1084" s="249"/>
      <c r="V1084" s="249"/>
    </row>
    <row r="1085">
      <c r="A1085" s="255" t="s">
        <v>2191</v>
      </c>
      <c r="B1085" s="248" t="s">
        <v>688</v>
      </c>
      <c r="C1085" s="248" t="s">
        <v>683</v>
      </c>
      <c r="D1085" s="248" t="s">
        <v>512</v>
      </c>
      <c r="E1085" s="248">
        <v>11438.0</v>
      </c>
      <c r="F1085" s="256">
        <v>45215.0</v>
      </c>
      <c r="G1085" s="248">
        <v>2023.0</v>
      </c>
      <c r="H1085" s="248" t="s">
        <v>513</v>
      </c>
      <c r="I1085" s="248" t="s">
        <v>514</v>
      </c>
      <c r="J1085" s="248" t="s">
        <v>297</v>
      </c>
      <c r="K1085" s="249" t="s">
        <v>66</v>
      </c>
      <c r="L1085" s="257" t="s">
        <v>523</v>
      </c>
      <c r="M1085" s="249"/>
      <c r="N1085" s="249"/>
      <c r="O1085" s="249"/>
      <c r="P1085" s="249"/>
      <c r="Q1085" s="249"/>
      <c r="R1085" s="249"/>
      <c r="S1085" s="249"/>
      <c r="T1085" s="249"/>
      <c r="U1085" s="249"/>
      <c r="V1085" s="249"/>
    </row>
    <row r="1086">
      <c r="A1086" s="255" t="s">
        <v>2181</v>
      </c>
      <c r="B1086" s="248" t="s">
        <v>810</v>
      </c>
      <c r="C1086" s="248" t="s">
        <v>655</v>
      </c>
      <c r="D1086" s="248" t="s">
        <v>520</v>
      </c>
      <c r="E1086" s="248">
        <v>51513.0</v>
      </c>
      <c r="F1086" s="256">
        <v>45212.0</v>
      </c>
      <c r="G1086" s="248">
        <v>2023.0</v>
      </c>
      <c r="H1086" s="248" t="s">
        <v>513</v>
      </c>
      <c r="I1086" s="248" t="s">
        <v>514</v>
      </c>
      <c r="J1086" s="248" t="s">
        <v>309</v>
      </c>
      <c r="K1086" s="249" t="s">
        <v>66</v>
      </c>
      <c r="L1086" s="257" t="s">
        <v>523</v>
      </c>
      <c r="M1086" s="249"/>
      <c r="N1086" s="249"/>
      <c r="O1086" s="249"/>
      <c r="P1086" s="249"/>
      <c r="Q1086" s="249"/>
      <c r="R1086" s="249"/>
      <c r="S1086" s="249"/>
      <c r="T1086" s="249"/>
      <c r="U1086" s="249"/>
      <c r="V1086" s="249"/>
    </row>
    <row r="1087">
      <c r="A1087" s="255" t="s">
        <v>2192</v>
      </c>
      <c r="B1087" s="248" t="s">
        <v>705</v>
      </c>
      <c r="C1087" s="248" t="s">
        <v>706</v>
      </c>
      <c r="D1087" s="248" t="s">
        <v>512</v>
      </c>
      <c r="E1087" s="248">
        <v>10833.0</v>
      </c>
      <c r="F1087" s="256">
        <v>45211.0</v>
      </c>
      <c r="G1087" s="248">
        <v>2023.0</v>
      </c>
      <c r="H1087" s="248" t="s">
        <v>513</v>
      </c>
      <c r="I1087" s="248" t="s">
        <v>514</v>
      </c>
      <c r="J1087" s="248" t="s">
        <v>297</v>
      </c>
      <c r="K1087" s="249" t="s">
        <v>66</v>
      </c>
      <c r="L1087" s="257" t="s">
        <v>523</v>
      </c>
      <c r="M1087" s="249"/>
      <c r="N1087" s="249"/>
      <c r="O1087" s="249"/>
      <c r="P1087" s="249"/>
      <c r="Q1087" s="249"/>
      <c r="R1087" s="249"/>
      <c r="S1087" s="249"/>
      <c r="T1087" s="249"/>
      <c r="U1087" s="249"/>
      <c r="V1087" s="249"/>
    </row>
    <row r="1088">
      <c r="A1088" s="255" t="s">
        <v>2193</v>
      </c>
      <c r="B1088" s="248" t="s">
        <v>542</v>
      </c>
      <c r="C1088" s="248" t="s">
        <v>543</v>
      </c>
      <c r="D1088" s="248" t="s">
        <v>520</v>
      </c>
      <c r="E1088" s="248">
        <v>1975066.0</v>
      </c>
      <c r="F1088" s="256">
        <v>45198.0</v>
      </c>
      <c r="G1088" s="248">
        <v>2023.0</v>
      </c>
      <c r="H1088" s="248" t="s">
        <v>513</v>
      </c>
      <c r="I1088" s="248" t="s">
        <v>514</v>
      </c>
      <c r="J1088" s="248" t="s">
        <v>309</v>
      </c>
      <c r="K1088" s="249" t="s">
        <v>66</v>
      </c>
      <c r="L1088" s="257" t="s">
        <v>523</v>
      </c>
      <c r="M1088" s="249"/>
      <c r="N1088" s="249"/>
      <c r="O1088" s="249"/>
      <c r="P1088" s="249"/>
      <c r="Q1088" s="249"/>
      <c r="R1088" s="249"/>
      <c r="S1088" s="249"/>
      <c r="T1088" s="249"/>
      <c r="U1088" s="249"/>
      <c r="V1088" s="249"/>
    </row>
    <row r="1089">
      <c r="A1089" s="255" t="s">
        <v>2194</v>
      </c>
      <c r="B1089" s="248" t="s">
        <v>573</v>
      </c>
      <c r="C1089" s="248" t="s">
        <v>574</v>
      </c>
      <c r="D1089" s="248" t="s">
        <v>512</v>
      </c>
      <c r="E1089" s="248">
        <v>1280.0</v>
      </c>
      <c r="F1089" s="256">
        <v>45198.0</v>
      </c>
      <c r="G1089" s="248">
        <v>2023.0</v>
      </c>
      <c r="H1089" s="248" t="s">
        <v>513</v>
      </c>
      <c r="I1089" s="248" t="s">
        <v>514</v>
      </c>
      <c r="J1089" s="248" t="s">
        <v>297</v>
      </c>
      <c r="K1089" s="249" t="s">
        <v>66</v>
      </c>
      <c r="L1089" s="257" t="s">
        <v>523</v>
      </c>
      <c r="M1089" s="249"/>
      <c r="N1089" s="249"/>
      <c r="O1089" s="249"/>
      <c r="P1089" s="249"/>
      <c r="Q1089" s="249"/>
      <c r="R1089" s="249"/>
      <c r="S1089" s="249"/>
      <c r="T1089" s="249"/>
      <c r="U1089" s="249"/>
      <c r="V1089" s="249"/>
    </row>
    <row r="1090">
      <c r="A1090" s="255" t="s">
        <v>2195</v>
      </c>
      <c r="B1090" s="248" t="s">
        <v>573</v>
      </c>
      <c r="C1090" s="248" t="s">
        <v>574</v>
      </c>
      <c r="D1090" s="248" t="s">
        <v>520</v>
      </c>
      <c r="E1090" s="248">
        <v>630755.0</v>
      </c>
      <c r="F1090" s="256">
        <v>45198.0</v>
      </c>
      <c r="G1090" s="248">
        <v>2023.0</v>
      </c>
      <c r="H1090" s="248" t="s">
        <v>546</v>
      </c>
      <c r="I1090" s="248" t="s">
        <v>592</v>
      </c>
      <c r="J1090" s="248" t="s">
        <v>309</v>
      </c>
      <c r="K1090" s="249" t="s">
        <v>66</v>
      </c>
      <c r="L1090" s="257" t="s">
        <v>523</v>
      </c>
      <c r="M1090" s="249"/>
      <c r="N1090" s="249"/>
      <c r="O1090" s="249"/>
      <c r="P1090" s="249"/>
      <c r="Q1090" s="249"/>
      <c r="R1090" s="249"/>
      <c r="S1090" s="249"/>
      <c r="T1090" s="249"/>
      <c r="U1090" s="249"/>
      <c r="V1090" s="249"/>
    </row>
    <row r="1091">
      <c r="A1091" s="255" t="s">
        <v>2196</v>
      </c>
      <c r="B1091" s="248" t="s">
        <v>573</v>
      </c>
      <c r="C1091" s="248" t="s">
        <v>574</v>
      </c>
      <c r="D1091" s="248" t="s">
        <v>512</v>
      </c>
      <c r="E1091" s="248">
        <v>9580.0</v>
      </c>
      <c r="F1091" s="256">
        <v>45198.0</v>
      </c>
      <c r="G1091" s="248">
        <v>2023.0</v>
      </c>
      <c r="H1091" s="248" t="s">
        <v>513</v>
      </c>
      <c r="I1091" s="248" t="s">
        <v>514</v>
      </c>
      <c r="J1091" s="248" t="s">
        <v>297</v>
      </c>
      <c r="K1091" s="249" t="s">
        <v>66</v>
      </c>
      <c r="L1091" s="257" t="s">
        <v>523</v>
      </c>
      <c r="M1091" s="249"/>
      <c r="N1091" s="249"/>
      <c r="O1091" s="249"/>
      <c r="P1091" s="249"/>
      <c r="Q1091" s="249"/>
      <c r="R1091" s="249"/>
      <c r="S1091" s="249"/>
      <c r="T1091" s="249"/>
      <c r="U1091" s="249"/>
      <c r="V1091" s="249"/>
    </row>
    <row r="1092">
      <c r="A1092" s="255" t="s">
        <v>2197</v>
      </c>
      <c r="B1092" s="248" t="s">
        <v>607</v>
      </c>
      <c r="C1092" s="248" t="s">
        <v>608</v>
      </c>
      <c r="D1092" s="248" t="s">
        <v>512</v>
      </c>
      <c r="E1092" s="248">
        <v>129463.0</v>
      </c>
      <c r="F1092" s="256">
        <v>45196.0</v>
      </c>
      <c r="G1092" s="248">
        <v>2023.0</v>
      </c>
      <c r="H1092" s="248" t="s">
        <v>513</v>
      </c>
      <c r="I1092" s="248" t="s">
        <v>514</v>
      </c>
      <c r="J1092" s="248" t="s">
        <v>297</v>
      </c>
      <c r="K1092" s="249" t="s">
        <v>66</v>
      </c>
      <c r="L1092" s="257" t="s">
        <v>523</v>
      </c>
      <c r="M1092" s="249"/>
      <c r="N1092" s="249"/>
      <c r="O1092" s="249"/>
      <c r="P1092" s="249"/>
      <c r="Q1092" s="249"/>
      <c r="R1092" s="249"/>
      <c r="S1092" s="249"/>
      <c r="T1092" s="249"/>
      <c r="U1092" s="249"/>
      <c r="V1092" s="249"/>
    </row>
    <row r="1093">
      <c r="A1093" s="255" t="s">
        <v>2198</v>
      </c>
      <c r="B1093" s="248" t="s">
        <v>578</v>
      </c>
      <c r="C1093" s="248" t="s">
        <v>579</v>
      </c>
      <c r="D1093" s="248" t="s">
        <v>512</v>
      </c>
      <c r="E1093" s="248">
        <v>1110.0</v>
      </c>
      <c r="F1093" s="256">
        <v>45195.0</v>
      </c>
      <c r="G1093" s="248">
        <v>2023.0</v>
      </c>
      <c r="H1093" s="248" t="s">
        <v>513</v>
      </c>
      <c r="I1093" s="248" t="s">
        <v>514</v>
      </c>
      <c r="J1093" s="248" t="s">
        <v>297</v>
      </c>
      <c r="K1093" s="249" t="s">
        <v>66</v>
      </c>
      <c r="L1093" s="257" t="s">
        <v>523</v>
      </c>
      <c r="M1093" s="249"/>
      <c r="N1093" s="249"/>
      <c r="O1093" s="249"/>
      <c r="P1093" s="249"/>
      <c r="Q1093" s="249"/>
      <c r="R1093" s="249"/>
      <c r="S1093" s="249"/>
      <c r="T1093" s="249"/>
      <c r="U1093" s="249"/>
      <c r="V1093" s="249"/>
    </row>
    <row r="1094">
      <c r="A1094" s="255" t="s">
        <v>2199</v>
      </c>
      <c r="B1094" s="248" t="s">
        <v>607</v>
      </c>
      <c r="C1094" s="248" t="s">
        <v>608</v>
      </c>
      <c r="D1094" s="248" t="s">
        <v>512</v>
      </c>
      <c r="E1094" s="248">
        <v>1922.0</v>
      </c>
      <c r="F1094" s="256">
        <v>45195.0</v>
      </c>
      <c r="G1094" s="248">
        <v>2023.0</v>
      </c>
      <c r="H1094" s="248" t="s">
        <v>513</v>
      </c>
      <c r="I1094" s="248" t="s">
        <v>514</v>
      </c>
      <c r="J1094" s="248" t="s">
        <v>297</v>
      </c>
      <c r="K1094" s="249" t="s">
        <v>66</v>
      </c>
      <c r="L1094" s="257" t="s">
        <v>523</v>
      </c>
      <c r="M1094" s="249"/>
      <c r="N1094" s="249"/>
      <c r="O1094" s="249"/>
      <c r="P1094" s="249"/>
      <c r="Q1094" s="249"/>
      <c r="R1094" s="249"/>
      <c r="S1094" s="249"/>
      <c r="T1094" s="249"/>
      <c r="U1094" s="249"/>
      <c r="V1094" s="249"/>
    </row>
    <row r="1095">
      <c r="A1095" s="255" t="s">
        <v>2200</v>
      </c>
      <c r="B1095" s="248" t="s">
        <v>586</v>
      </c>
      <c r="C1095" s="248" t="s">
        <v>587</v>
      </c>
      <c r="D1095" s="248" t="s">
        <v>512</v>
      </c>
      <c r="E1095" s="248">
        <v>216047.0</v>
      </c>
      <c r="F1095" s="256">
        <v>45195.0</v>
      </c>
      <c r="G1095" s="248">
        <v>2023.0</v>
      </c>
      <c r="H1095" s="248" t="s">
        <v>513</v>
      </c>
      <c r="I1095" s="248" t="s">
        <v>514</v>
      </c>
      <c r="J1095" s="248" t="s">
        <v>297</v>
      </c>
      <c r="K1095" s="249" t="s">
        <v>66</v>
      </c>
      <c r="L1095" s="257" t="s">
        <v>523</v>
      </c>
      <c r="M1095" s="249"/>
      <c r="N1095" s="249"/>
      <c r="O1095" s="249"/>
      <c r="P1095" s="249"/>
      <c r="Q1095" s="249"/>
      <c r="R1095" s="249"/>
      <c r="S1095" s="249"/>
      <c r="T1095" s="249"/>
      <c r="U1095" s="249"/>
      <c r="V1095" s="249"/>
    </row>
    <row r="1096">
      <c r="A1096" s="255" t="s">
        <v>2201</v>
      </c>
      <c r="B1096" s="248" t="s">
        <v>573</v>
      </c>
      <c r="C1096" s="248" t="s">
        <v>574</v>
      </c>
      <c r="D1096" s="248" t="s">
        <v>512</v>
      </c>
      <c r="E1096" s="248">
        <v>7281.0</v>
      </c>
      <c r="F1096" s="256">
        <v>45194.0</v>
      </c>
      <c r="G1096" s="248">
        <v>2023.0</v>
      </c>
      <c r="H1096" s="248" t="s">
        <v>513</v>
      </c>
      <c r="I1096" s="248" t="s">
        <v>514</v>
      </c>
      <c r="J1096" s="248" t="s">
        <v>297</v>
      </c>
      <c r="K1096" s="249" t="s">
        <v>66</v>
      </c>
      <c r="L1096" s="257" t="s">
        <v>523</v>
      </c>
      <c r="M1096" s="249"/>
      <c r="N1096" s="249"/>
      <c r="O1096" s="249"/>
      <c r="P1096" s="249"/>
      <c r="Q1096" s="249"/>
      <c r="R1096" s="249"/>
      <c r="S1096" s="249"/>
      <c r="T1096" s="249"/>
      <c r="U1096" s="249"/>
      <c r="V1096" s="249"/>
    </row>
    <row r="1097">
      <c r="A1097" s="255" t="s">
        <v>2202</v>
      </c>
      <c r="B1097" s="248" t="s">
        <v>878</v>
      </c>
      <c r="C1097" s="248" t="s">
        <v>643</v>
      </c>
      <c r="D1097" s="248" t="s">
        <v>520</v>
      </c>
      <c r="E1097" s="248">
        <v>2824726.0</v>
      </c>
      <c r="F1097" s="256">
        <v>45191.0</v>
      </c>
      <c r="G1097" s="248">
        <v>2023.0</v>
      </c>
      <c r="H1097" s="248" t="s">
        <v>513</v>
      </c>
      <c r="I1097" s="248" t="s">
        <v>514</v>
      </c>
      <c r="J1097" s="248" t="s">
        <v>309</v>
      </c>
      <c r="K1097" s="249" t="s">
        <v>66</v>
      </c>
      <c r="L1097" s="257" t="s">
        <v>523</v>
      </c>
      <c r="M1097" s="249"/>
      <c r="N1097" s="249"/>
      <c r="O1097" s="249"/>
      <c r="P1097" s="249"/>
      <c r="Q1097" s="249"/>
      <c r="R1097" s="249"/>
      <c r="S1097" s="249"/>
      <c r="T1097" s="249"/>
      <c r="U1097" s="249"/>
      <c r="V1097" s="249"/>
    </row>
    <row r="1098">
      <c r="A1098" s="255" t="s">
        <v>2203</v>
      </c>
      <c r="B1098" s="248" t="s">
        <v>542</v>
      </c>
      <c r="C1098" s="248" t="s">
        <v>543</v>
      </c>
      <c r="D1098" s="248" t="s">
        <v>512</v>
      </c>
      <c r="E1098" s="248">
        <v>14171.0</v>
      </c>
      <c r="F1098" s="256">
        <v>45191.0</v>
      </c>
      <c r="G1098" s="248">
        <v>2023.0</v>
      </c>
      <c r="H1098" s="248" t="s">
        <v>513</v>
      </c>
      <c r="I1098" s="248" t="s">
        <v>521</v>
      </c>
      <c r="J1098" s="248" t="s">
        <v>297</v>
      </c>
      <c r="K1098" s="249" t="s">
        <v>66</v>
      </c>
      <c r="L1098" s="257" t="s">
        <v>523</v>
      </c>
      <c r="M1098" s="249"/>
      <c r="N1098" s="249"/>
      <c r="O1098" s="249"/>
      <c r="P1098" s="249"/>
      <c r="Q1098" s="249"/>
      <c r="R1098" s="249"/>
      <c r="S1098" s="249"/>
      <c r="T1098" s="249"/>
      <c r="U1098" s="249"/>
      <c r="V1098" s="249"/>
    </row>
    <row r="1099">
      <c r="A1099" s="255" t="s">
        <v>2204</v>
      </c>
      <c r="B1099" s="248" t="s">
        <v>75</v>
      </c>
      <c r="C1099" s="248" t="s">
        <v>675</v>
      </c>
      <c r="D1099" s="248" t="s">
        <v>512</v>
      </c>
      <c r="E1099" s="248">
        <v>2753.0</v>
      </c>
      <c r="F1099" s="256">
        <v>45187.0</v>
      </c>
      <c r="G1099" s="248">
        <v>2023.0</v>
      </c>
      <c r="H1099" s="248" t="s">
        <v>513</v>
      </c>
      <c r="I1099" s="248" t="s">
        <v>514</v>
      </c>
      <c r="J1099" s="248" t="s">
        <v>309</v>
      </c>
      <c r="K1099" s="249" t="s">
        <v>66</v>
      </c>
      <c r="L1099" s="257" t="s">
        <v>523</v>
      </c>
      <c r="M1099" s="249"/>
      <c r="N1099" s="249"/>
      <c r="O1099" s="249"/>
      <c r="P1099" s="249"/>
      <c r="Q1099" s="249"/>
      <c r="R1099" s="249"/>
      <c r="S1099" s="249"/>
      <c r="T1099" s="249"/>
      <c r="U1099" s="249"/>
      <c r="V1099" s="249"/>
    </row>
    <row r="1100">
      <c r="A1100" s="255" t="s">
        <v>2205</v>
      </c>
      <c r="B1100" s="248" t="s">
        <v>542</v>
      </c>
      <c r="C1100" s="248" t="s">
        <v>543</v>
      </c>
      <c r="D1100" s="248" t="s">
        <v>520</v>
      </c>
      <c r="E1100" s="248">
        <v>3749.0</v>
      </c>
      <c r="F1100" s="256">
        <v>45181.0</v>
      </c>
      <c r="G1100" s="248">
        <v>2023.0</v>
      </c>
      <c r="H1100" s="248" t="s">
        <v>513</v>
      </c>
      <c r="I1100" s="248" t="s">
        <v>514</v>
      </c>
      <c r="J1100" s="248" t="s">
        <v>309</v>
      </c>
      <c r="K1100" s="249" t="s">
        <v>66</v>
      </c>
      <c r="L1100" s="257" t="s">
        <v>523</v>
      </c>
      <c r="M1100" s="249"/>
      <c r="N1100" s="249"/>
      <c r="O1100" s="249"/>
      <c r="P1100" s="249"/>
      <c r="Q1100" s="249"/>
      <c r="R1100" s="249"/>
      <c r="S1100" s="249"/>
      <c r="T1100" s="249"/>
      <c r="U1100" s="249"/>
      <c r="V1100" s="249"/>
    </row>
    <row r="1101">
      <c r="A1101" s="255" t="s">
        <v>2206</v>
      </c>
      <c r="B1101" s="248" t="s">
        <v>748</v>
      </c>
      <c r="C1101" s="248" t="s">
        <v>694</v>
      </c>
      <c r="D1101" s="248" t="s">
        <v>512</v>
      </c>
      <c r="E1101" s="248">
        <v>1431.0</v>
      </c>
      <c r="F1101" s="256">
        <v>45177.0</v>
      </c>
      <c r="G1101" s="248">
        <v>2023.0</v>
      </c>
      <c r="H1101" s="248" t="s">
        <v>546</v>
      </c>
      <c r="I1101" s="248" t="s">
        <v>547</v>
      </c>
      <c r="J1101" s="248" t="s">
        <v>297</v>
      </c>
      <c r="K1101" s="249" t="s">
        <v>66</v>
      </c>
      <c r="L1101" s="257" t="s">
        <v>523</v>
      </c>
      <c r="M1101" s="249"/>
      <c r="N1101" s="249"/>
      <c r="O1101" s="249"/>
      <c r="P1101" s="249"/>
      <c r="Q1101" s="249"/>
      <c r="R1101" s="249"/>
      <c r="S1101" s="249"/>
      <c r="T1101" s="249"/>
      <c r="U1101" s="249"/>
      <c r="V1101" s="249"/>
    </row>
    <row r="1102">
      <c r="A1102" s="255" t="s">
        <v>2207</v>
      </c>
      <c r="B1102" s="248" t="s">
        <v>534</v>
      </c>
      <c r="C1102" s="248" t="s">
        <v>535</v>
      </c>
      <c r="D1102" s="248" t="s">
        <v>512</v>
      </c>
      <c r="E1102" s="248">
        <v>7252.0</v>
      </c>
      <c r="F1102" s="256">
        <v>45176.0</v>
      </c>
      <c r="G1102" s="248">
        <v>2023.0</v>
      </c>
      <c r="H1102" s="248" t="s">
        <v>513</v>
      </c>
      <c r="I1102" s="248" t="s">
        <v>514</v>
      </c>
      <c r="J1102" s="248" t="s">
        <v>297</v>
      </c>
      <c r="K1102" s="249" t="s">
        <v>66</v>
      </c>
      <c r="L1102" s="257" t="s">
        <v>523</v>
      </c>
      <c r="M1102" s="249"/>
      <c r="N1102" s="249"/>
      <c r="O1102" s="249"/>
      <c r="P1102" s="249"/>
      <c r="Q1102" s="249"/>
      <c r="R1102" s="249"/>
      <c r="S1102" s="249"/>
      <c r="T1102" s="249"/>
      <c r="U1102" s="249"/>
      <c r="V1102" s="249"/>
    </row>
    <row r="1103">
      <c r="A1103" s="255" t="s">
        <v>1394</v>
      </c>
      <c r="B1103" s="248" t="s">
        <v>534</v>
      </c>
      <c r="C1103" s="248" t="s">
        <v>535</v>
      </c>
      <c r="D1103" s="248" t="s">
        <v>575</v>
      </c>
      <c r="E1103" s="248">
        <v>315915.0</v>
      </c>
      <c r="F1103" s="256">
        <v>45176.0</v>
      </c>
      <c r="G1103" s="248">
        <v>2023.0</v>
      </c>
      <c r="H1103" s="248" t="s">
        <v>546</v>
      </c>
      <c r="I1103" s="248" t="s">
        <v>514</v>
      </c>
      <c r="J1103" s="248" t="s">
        <v>297</v>
      </c>
      <c r="K1103" s="249" t="s">
        <v>66</v>
      </c>
      <c r="L1103" s="257" t="s">
        <v>523</v>
      </c>
      <c r="M1103" s="249"/>
      <c r="N1103" s="249"/>
      <c r="O1103" s="249"/>
      <c r="P1103" s="249"/>
      <c r="Q1103" s="249"/>
      <c r="R1103" s="249"/>
      <c r="S1103" s="249"/>
      <c r="T1103" s="249"/>
      <c r="U1103" s="249"/>
      <c r="V1103" s="249"/>
    </row>
    <row r="1104">
      <c r="A1104" s="255" t="s">
        <v>2208</v>
      </c>
      <c r="B1104" s="248" t="s">
        <v>564</v>
      </c>
      <c r="C1104" s="248" t="s">
        <v>565</v>
      </c>
      <c r="D1104" s="248" t="s">
        <v>512</v>
      </c>
      <c r="E1104" s="248">
        <v>20498.0</v>
      </c>
      <c r="F1104" s="256">
        <v>45170.0</v>
      </c>
      <c r="G1104" s="248">
        <v>2023.0</v>
      </c>
      <c r="H1104" s="248" t="s">
        <v>513</v>
      </c>
      <c r="I1104" s="248" t="s">
        <v>521</v>
      </c>
      <c r="J1104" s="248" t="s">
        <v>297</v>
      </c>
      <c r="K1104" s="249" t="s">
        <v>66</v>
      </c>
      <c r="L1104" s="257" t="s">
        <v>523</v>
      </c>
      <c r="M1104" s="249"/>
      <c r="N1104" s="249"/>
      <c r="O1104" s="249"/>
      <c r="P1104" s="249"/>
      <c r="Q1104" s="249"/>
      <c r="R1104" s="249"/>
      <c r="S1104" s="249"/>
      <c r="T1104" s="249"/>
      <c r="U1104" s="249"/>
      <c r="V1104" s="249"/>
    </row>
    <row r="1105">
      <c r="A1105" s="255" t="s">
        <v>2209</v>
      </c>
      <c r="B1105" s="248" t="s">
        <v>956</v>
      </c>
      <c r="C1105" s="248" t="s">
        <v>680</v>
      </c>
      <c r="D1105" s="248" t="s">
        <v>512</v>
      </c>
      <c r="E1105" s="248">
        <v>1229333.0</v>
      </c>
      <c r="F1105" s="256">
        <v>45163.0</v>
      </c>
      <c r="G1105" s="248">
        <v>2023.0</v>
      </c>
      <c r="H1105" s="248" t="s">
        <v>513</v>
      </c>
      <c r="I1105" s="248" t="s">
        <v>514</v>
      </c>
      <c r="J1105" s="248" t="s">
        <v>297</v>
      </c>
      <c r="K1105" s="249" t="s">
        <v>66</v>
      </c>
      <c r="L1105" s="257" t="s">
        <v>523</v>
      </c>
      <c r="M1105" s="249"/>
      <c r="N1105" s="249"/>
      <c r="O1105" s="249"/>
      <c r="P1105" s="249"/>
      <c r="Q1105" s="249"/>
      <c r="R1105" s="249"/>
      <c r="S1105" s="249"/>
      <c r="T1105" s="249"/>
      <c r="U1105" s="249"/>
      <c r="V1105" s="249"/>
    </row>
    <row r="1106">
      <c r="A1106" s="255" t="s">
        <v>2210</v>
      </c>
      <c r="B1106" s="248" t="s">
        <v>1070</v>
      </c>
      <c r="C1106" s="248" t="s">
        <v>652</v>
      </c>
      <c r="D1106" s="248" t="s">
        <v>512</v>
      </c>
      <c r="E1106" s="248">
        <v>9703.0</v>
      </c>
      <c r="F1106" s="256">
        <v>45163.0</v>
      </c>
      <c r="G1106" s="248">
        <v>2023.0</v>
      </c>
      <c r="H1106" s="248" t="s">
        <v>513</v>
      </c>
      <c r="I1106" s="248" t="s">
        <v>521</v>
      </c>
      <c r="J1106" s="248" t="s">
        <v>297</v>
      </c>
      <c r="K1106" s="249" t="s">
        <v>66</v>
      </c>
      <c r="L1106" s="257" t="s">
        <v>523</v>
      </c>
      <c r="M1106" s="249"/>
      <c r="N1106" s="249"/>
      <c r="O1106" s="249"/>
      <c r="P1106" s="249"/>
      <c r="Q1106" s="249"/>
      <c r="R1106" s="249"/>
      <c r="S1106" s="249"/>
      <c r="T1106" s="249"/>
      <c r="U1106" s="249"/>
      <c r="V1106" s="249"/>
    </row>
    <row r="1107">
      <c r="A1107" s="255" t="s">
        <v>2211</v>
      </c>
      <c r="B1107" s="248" t="s">
        <v>641</v>
      </c>
      <c r="C1107" s="248" t="s">
        <v>633</v>
      </c>
      <c r="D1107" s="248" t="s">
        <v>520</v>
      </c>
      <c r="E1107" s="248">
        <v>6050.0</v>
      </c>
      <c r="F1107" s="256">
        <v>45161.0</v>
      </c>
      <c r="G1107" s="248">
        <v>2023.0</v>
      </c>
      <c r="H1107" s="248" t="s">
        <v>513</v>
      </c>
      <c r="I1107" s="248" t="s">
        <v>514</v>
      </c>
      <c r="J1107" s="248" t="s">
        <v>309</v>
      </c>
      <c r="K1107" s="249" t="s">
        <v>66</v>
      </c>
      <c r="L1107" s="257" t="s">
        <v>523</v>
      </c>
      <c r="M1107" s="249"/>
      <c r="N1107" s="249"/>
      <c r="O1107" s="249"/>
      <c r="P1107" s="249"/>
      <c r="Q1107" s="249"/>
      <c r="R1107" s="249"/>
      <c r="S1107" s="249"/>
      <c r="T1107" s="249"/>
      <c r="U1107" s="249"/>
      <c r="V1107" s="249"/>
    </row>
    <row r="1108">
      <c r="A1108" s="255" t="s">
        <v>2212</v>
      </c>
      <c r="B1108" s="248" t="s">
        <v>748</v>
      </c>
      <c r="C1108" s="248" t="s">
        <v>694</v>
      </c>
      <c r="D1108" s="248" t="s">
        <v>520</v>
      </c>
      <c r="E1108" s="248">
        <v>10037.0</v>
      </c>
      <c r="F1108" s="256">
        <v>45159.0</v>
      </c>
      <c r="G1108" s="248">
        <v>2023.0</v>
      </c>
      <c r="H1108" s="248" t="s">
        <v>513</v>
      </c>
      <c r="I1108" s="248" t="s">
        <v>521</v>
      </c>
      <c r="J1108" s="248" t="s">
        <v>309</v>
      </c>
      <c r="K1108" s="249" t="s">
        <v>66</v>
      </c>
      <c r="L1108" s="257" t="s">
        <v>523</v>
      </c>
      <c r="M1108" s="249"/>
      <c r="N1108" s="249"/>
      <c r="O1108" s="249"/>
      <c r="P1108" s="249"/>
      <c r="Q1108" s="249"/>
      <c r="R1108" s="249"/>
      <c r="S1108" s="249"/>
      <c r="T1108" s="249"/>
      <c r="U1108" s="249"/>
      <c r="V1108" s="249"/>
    </row>
    <row r="1109">
      <c r="A1109" s="255" t="s">
        <v>2213</v>
      </c>
      <c r="B1109" s="248" t="s">
        <v>586</v>
      </c>
      <c r="C1109" s="248" t="s">
        <v>587</v>
      </c>
      <c r="D1109" s="248" t="s">
        <v>512</v>
      </c>
      <c r="E1109" s="248">
        <v>2603.0</v>
      </c>
      <c r="F1109" s="256">
        <v>45156.0</v>
      </c>
      <c r="G1109" s="248">
        <v>2023.0</v>
      </c>
      <c r="H1109" s="248" t="s">
        <v>513</v>
      </c>
      <c r="I1109" s="248" t="s">
        <v>514</v>
      </c>
      <c r="J1109" s="248" t="s">
        <v>309</v>
      </c>
      <c r="K1109" s="249" t="s">
        <v>66</v>
      </c>
      <c r="L1109" s="257" t="s">
        <v>523</v>
      </c>
      <c r="M1109" s="249"/>
      <c r="N1109" s="249"/>
      <c r="O1109" s="249"/>
      <c r="P1109" s="249"/>
      <c r="Q1109" s="249"/>
      <c r="R1109" s="249"/>
      <c r="S1109" s="249"/>
      <c r="T1109" s="249"/>
      <c r="U1109" s="249"/>
      <c r="V1109" s="249"/>
    </row>
    <row r="1110">
      <c r="A1110" s="255" t="s">
        <v>2214</v>
      </c>
      <c r="B1110" s="248" t="s">
        <v>573</v>
      </c>
      <c r="C1110" s="248" t="s">
        <v>574</v>
      </c>
      <c r="D1110" s="248" t="s">
        <v>520</v>
      </c>
      <c r="E1110" s="248">
        <v>62183.0</v>
      </c>
      <c r="F1110" s="256">
        <v>45156.0</v>
      </c>
      <c r="G1110" s="248">
        <v>2023.0</v>
      </c>
      <c r="H1110" s="248" t="s">
        <v>513</v>
      </c>
      <c r="I1110" s="248" t="s">
        <v>514</v>
      </c>
      <c r="J1110" s="248" t="s">
        <v>309</v>
      </c>
      <c r="K1110" s="249" t="s">
        <v>66</v>
      </c>
      <c r="L1110" s="257" t="s">
        <v>523</v>
      </c>
      <c r="M1110" s="249"/>
      <c r="N1110" s="249"/>
      <c r="O1110" s="249"/>
      <c r="P1110" s="249"/>
      <c r="Q1110" s="249"/>
      <c r="R1110" s="249"/>
      <c r="S1110" s="249"/>
      <c r="T1110" s="249"/>
      <c r="U1110" s="249"/>
      <c r="V1110" s="249"/>
    </row>
    <row r="1111">
      <c r="A1111" s="255" t="s">
        <v>2215</v>
      </c>
      <c r="B1111" s="248" t="s">
        <v>573</v>
      </c>
      <c r="C1111" s="248" t="s">
        <v>574</v>
      </c>
      <c r="D1111" s="248" t="s">
        <v>520</v>
      </c>
      <c r="E1111" s="248">
        <v>516985.0</v>
      </c>
      <c r="F1111" s="256">
        <v>45156.0</v>
      </c>
      <c r="G1111" s="248">
        <v>2023.0</v>
      </c>
      <c r="H1111" s="248" t="s">
        <v>513</v>
      </c>
      <c r="I1111" s="248" t="s">
        <v>514</v>
      </c>
      <c r="J1111" s="248" t="s">
        <v>309</v>
      </c>
      <c r="K1111" s="249" t="s">
        <v>66</v>
      </c>
      <c r="L1111" s="257" t="s">
        <v>523</v>
      </c>
      <c r="M1111" s="249"/>
      <c r="N1111" s="249"/>
      <c r="O1111" s="249"/>
      <c r="P1111" s="249"/>
      <c r="Q1111" s="249"/>
      <c r="R1111" s="249"/>
      <c r="S1111" s="249"/>
      <c r="T1111" s="249"/>
      <c r="U1111" s="249"/>
      <c r="V1111" s="249"/>
    </row>
    <row r="1112">
      <c r="A1112" s="255" t="s">
        <v>2216</v>
      </c>
      <c r="B1112" s="248" t="s">
        <v>564</v>
      </c>
      <c r="C1112" s="248" t="s">
        <v>565</v>
      </c>
      <c r="D1112" s="248" t="s">
        <v>512</v>
      </c>
      <c r="E1112" s="248">
        <v>212789.0</v>
      </c>
      <c r="F1112" s="256">
        <v>45156.0</v>
      </c>
      <c r="G1112" s="248">
        <v>2023.0</v>
      </c>
      <c r="H1112" s="248" t="s">
        <v>513</v>
      </c>
      <c r="I1112" s="248" t="s">
        <v>514</v>
      </c>
      <c r="J1112" s="248" t="s">
        <v>309</v>
      </c>
      <c r="K1112" s="249" t="s">
        <v>66</v>
      </c>
      <c r="L1112" s="257" t="s">
        <v>523</v>
      </c>
      <c r="M1112" s="249"/>
      <c r="N1112" s="249"/>
      <c r="O1112" s="249"/>
      <c r="P1112" s="249"/>
      <c r="Q1112" s="249"/>
      <c r="R1112" s="249"/>
      <c r="S1112" s="249"/>
      <c r="T1112" s="249"/>
      <c r="U1112" s="249"/>
      <c r="V1112" s="249"/>
    </row>
    <row r="1113">
      <c r="A1113" s="255" t="s">
        <v>2217</v>
      </c>
      <c r="B1113" s="248" t="s">
        <v>586</v>
      </c>
      <c r="C1113" s="248" t="s">
        <v>587</v>
      </c>
      <c r="D1113" s="248" t="s">
        <v>512</v>
      </c>
      <c r="E1113" s="248">
        <v>248943.0</v>
      </c>
      <c r="F1113" s="256">
        <v>45155.0</v>
      </c>
      <c r="G1113" s="248">
        <v>2023.0</v>
      </c>
      <c r="H1113" s="248" t="s">
        <v>513</v>
      </c>
      <c r="I1113" s="248" t="s">
        <v>514</v>
      </c>
      <c r="J1113" s="248" t="s">
        <v>297</v>
      </c>
      <c r="K1113" s="249" t="s">
        <v>66</v>
      </c>
      <c r="L1113" s="257" t="s">
        <v>523</v>
      </c>
      <c r="M1113" s="249"/>
      <c r="N1113" s="249"/>
      <c r="O1113" s="249"/>
      <c r="P1113" s="249"/>
      <c r="Q1113" s="249"/>
      <c r="R1113" s="249"/>
      <c r="S1113" s="249"/>
      <c r="T1113" s="249"/>
      <c r="U1113" s="249"/>
      <c r="V1113" s="249"/>
    </row>
    <row r="1114">
      <c r="A1114" s="255" t="s">
        <v>2218</v>
      </c>
      <c r="B1114" s="248" t="s">
        <v>810</v>
      </c>
      <c r="C1114" s="248" t="s">
        <v>655</v>
      </c>
      <c r="D1114" s="248" t="s">
        <v>512</v>
      </c>
      <c r="E1114" s="248">
        <v>4000.0</v>
      </c>
      <c r="F1114" s="256">
        <v>45153.0</v>
      </c>
      <c r="G1114" s="248">
        <v>2023.0</v>
      </c>
      <c r="H1114" s="248" t="s">
        <v>551</v>
      </c>
      <c r="I1114" s="248" t="s">
        <v>620</v>
      </c>
      <c r="J1114" s="248" t="s">
        <v>297</v>
      </c>
      <c r="K1114" s="249" t="s">
        <v>66</v>
      </c>
      <c r="L1114" s="257" t="s">
        <v>523</v>
      </c>
      <c r="M1114" s="249"/>
      <c r="N1114" s="249"/>
      <c r="O1114" s="249"/>
      <c r="P1114" s="249"/>
      <c r="Q1114" s="249"/>
      <c r="R1114" s="249"/>
      <c r="S1114" s="249"/>
      <c r="T1114" s="249"/>
      <c r="U1114" s="249"/>
      <c r="V1114" s="249"/>
    </row>
    <row r="1115">
      <c r="A1115" s="255" t="s">
        <v>2219</v>
      </c>
      <c r="B1115" s="248" t="s">
        <v>578</v>
      </c>
      <c r="C1115" s="248" t="s">
        <v>579</v>
      </c>
      <c r="D1115" s="248" t="s">
        <v>575</v>
      </c>
      <c r="E1115" s="248">
        <v>8487.0</v>
      </c>
      <c r="F1115" s="256">
        <v>45152.0</v>
      </c>
      <c r="G1115" s="248">
        <v>2023.0</v>
      </c>
      <c r="H1115" s="248" t="s">
        <v>513</v>
      </c>
      <c r="I1115" s="248" t="s">
        <v>514</v>
      </c>
      <c r="J1115" s="248" t="s">
        <v>297</v>
      </c>
      <c r="K1115" s="249" t="s">
        <v>66</v>
      </c>
      <c r="L1115" s="257" t="s">
        <v>523</v>
      </c>
      <c r="M1115" s="249"/>
      <c r="N1115" s="249"/>
      <c r="O1115" s="249"/>
      <c r="P1115" s="249"/>
      <c r="Q1115" s="249"/>
      <c r="R1115" s="249"/>
      <c r="S1115" s="249"/>
      <c r="T1115" s="249"/>
      <c r="U1115" s="249"/>
      <c r="V1115" s="249"/>
    </row>
    <row r="1116">
      <c r="A1116" s="255" t="s">
        <v>2220</v>
      </c>
      <c r="B1116" s="248" t="s">
        <v>1039</v>
      </c>
      <c r="C1116" s="248" t="s">
        <v>686</v>
      </c>
      <c r="D1116" s="248" t="s">
        <v>520</v>
      </c>
      <c r="E1116" s="248">
        <v>7810.0</v>
      </c>
      <c r="F1116" s="256">
        <v>45152.0</v>
      </c>
      <c r="G1116" s="248">
        <v>2023.0</v>
      </c>
      <c r="H1116" s="248" t="s">
        <v>513</v>
      </c>
      <c r="I1116" s="248" t="s">
        <v>514</v>
      </c>
      <c r="J1116" s="248" t="s">
        <v>309</v>
      </c>
      <c r="K1116" s="249" t="s">
        <v>66</v>
      </c>
      <c r="L1116" s="257" t="s">
        <v>523</v>
      </c>
      <c r="M1116" s="249"/>
      <c r="N1116" s="249"/>
      <c r="O1116" s="249"/>
      <c r="P1116" s="249"/>
      <c r="Q1116" s="249"/>
      <c r="R1116" s="249"/>
      <c r="S1116" s="249"/>
      <c r="T1116" s="249"/>
      <c r="U1116" s="249"/>
      <c r="V1116" s="249"/>
    </row>
    <row r="1117">
      <c r="A1117" s="255" t="s">
        <v>2221</v>
      </c>
      <c r="B1117" s="248" t="s">
        <v>573</v>
      </c>
      <c r="C1117" s="248" t="s">
        <v>574</v>
      </c>
      <c r="D1117" s="248" t="s">
        <v>575</v>
      </c>
      <c r="E1117" s="248">
        <v>103775.0</v>
      </c>
      <c r="F1117" s="256">
        <v>45152.0</v>
      </c>
      <c r="G1117" s="248">
        <v>2023.0</v>
      </c>
      <c r="H1117" s="248" t="s">
        <v>513</v>
      </c>
      <c r="I1117" s="248" t="s">
        <v>514</v>
      </c>
      <c r="J1117" s="248" t="s">
        <v>309</v>
      </c>
      <c r="K1117" s="249" t="s">
        <v>66</v>
      </c>
      <c r="L1117" s="257" t="s">
        <v>523</v>
      </c>
      <c r="M1117" s="249"/>
      <c r="N1117" s="249"/>
      <c r="O1117" s="249"/>
      <c r="P1117" s="249"/>
      <c r="Q1117" s="249"/>
      <c r="R1117" s="249"/>
      <c r="S1117" s="249"/>
      <c r="T1117" s="249"/>
      <c r="U1117" s="249"/>
      <c r="V1117" s="249"/>
    </row>
    <row r="1118">
      <c r="A1118" s="255" t="s">
        <v>1163</v>
      </c>
      <c r="B1118" s="248" t="s">
        <v>679</v>
      </c>
      <c r="C1118" s="248" t="s">
        <v>663</v>
      </c>
      <c r="D1118" s="248" t="s">
        <v>512</v>
      </c>
      <c r="E1118" s="248">
        <v>350000.0</v>
      </c>
      <c r="F1118" s="256">
        <v>45149.0</v>
      </c>
      <c r="G1118" s="248">
        <v>2023.0</v>
      </c>
      <c r="H1118" s="248" t="s">
        <v>513</v>
      </c>
      <c r="I1118" s="248" t="s">
        <v>514</v>
      </c>
      <c r="J1118" s="248" t="s">
        <v>297</v>
      </c>
      <c r="K1118" s="249" t="s">
        <v>66</v>
      </c>
      <c r="L1118" s="257" t="s">
        <v>523</v>
      </c>
      <c r="M1118" s="249"/>
      <c r="N1118" s="249"/>
      <c r="O1118" s="249"/>
      <c r="P1118" s="249"/>
      <c r="Q1118" s="249"/>
      <c r="R1118" s="249"/>
      <c r="S1118" s="249"/>
      <c r="T1118" s="249"/>
      <c r="U1118" s="249"/>
      <c r="V1118" s="249"/>
    </row>
    <row r="1119">
      <c r="A1119" s="255" t="s">
        <v>2222</v>
      </c>
      <c r="B1119" s="248" t="s">
        <v>542</v>
      </c>
      <c r="C1119" s="248" t="s">
        <v>543</v>
      </c>
      <c r="D1119" s="248" t="s">
        <v>512</v>
      </c>
      <c r="E1119" s="248">
        <v>203427.0</v>
      </c>
      <c r="F1119" s="256">
        <v>45148.0</v>
      </c>
      <c r="G1119" s="248">
        <v>2023.0</v>
      </c>
      <c r="H1119" s="248" t="s">
        <v>513</v>
      </c>
      <c r="I1119" s="248" t="s">
        <v>514</v>
      </c>
      <c r="J1119" s="248" t="s">
        <v>297</v>
      </c>
      <c r="K1119" s="249" t="s">
        <v>66</v>
      </c>
      <c r="L1119" s="257" t="s">
        <v>523</v>
      </c>
      <c r="M1119" s="249"/>
      <c r="N1119" s="249"/>
      <c r="O1119" s="249"/>
      <c r="P1119" s="249"/>
      <c r="Q1119" s="249"/>
      <c r="R1119" s="249"/>
      <c r="S1119" s="249"/>
      <c r="T1119" s="249"/>
      <c r="U1119" s="249"/>
      <c r="V1119" s="249"/>
    </row>
    <row r="1120">
      <c r="A1120" s="255" t="s">
        <v>2223</v>
      </c>
      <c r="B1120" s="248" t="s">
        <v>538</v>
      </c>
      <c r="C1120" s="248" t="s">
        <v>539</v>
      </c>
      <c r="D1120" s="248" t="s">
        <v>520</v>
      </c>
      <c r="E1120" s="248">
        <v>5330.0</v>
      </c>
      <c r="F1120" s="256">
        <v>45148.0</v>
      </c>
      <c r="G1120" s="248">
        <v>2023.0</v>
      </c>
      <c r="H1120" s="248" t="s">
        <v>513</v>
      </c>
      <c r="I1120" s="248" t="s">
        <v>514</v>
      </c>
      <c r="J1120" s="248" t="s">
        <v>309</v>
      </c>
      <c r="K1120" s="249" t="s">
        <v>66</v>
      </c>
      <c r="L1120" s="257" t="s">
        <v>523</v>
      </c>
      <c r="M1120" s="249"/>
      <c r="N1120" s="249"/>
      <c r="O1120" s="249"/>
      <c r="P1120" s="249"/>
      <c r="Q1120" s="249"/>
      <c r="R1120" s="249"/>
      <c r="S1120" s="249"/>
      <c r="T1120" s="249"/>
      <c r="U1120" s="249"/>
      <c r="V1120" s="249"/>
    </row>
    <row r="1121">
      <c r="A1121" s="255" t="s">
        <v>2224</v>
      </c>
      <c r="B1121" s="248" t="s">
        <v>924</v>
      </c>
      <c r="C1121" s="248" t="s">
        <v>725</v>
      </c>
      <c r="D1121" s="248" t="s">
        <v>512</v>
      </c>
      <c r="E1121" s="248">
        <v>6267.0</v>
      </c>
      <c r="F1121" s="256">
        <v>45146.0</v>
      </c>
      <c r="G1121" s="248">
        <v>2023.0</v>
      </c>
      <c r="H1121" s="248" t="s">
        <v>513</v>
      </c>
      <c r="I1121" s="248" t="s">
        <v>514</v>
      </c>
      <c r="J1121" s="248" t="s">
        <v>297</v>
      </c>
      <c r="K1121" s="249" t="s">
        <v>66</v>
      </c>
      <c r="L1121" s="257" t="s">
        <v>523</v>
      </c>
      <c r="M1121" s="249"/>
      <c r="N1121" s="249"/>
      <c r="O1121" s="249"/>
      <c r="P1121" s="249"/>
      <c r="Q1121" s="249"/>
      <c r="R1121" s="249"/>
      <c r="S1121" s="249"/>
      <c r="T1121" s="249"/>
      <c r="U1121" s="249"/>
      <c r="V1121" s="249"/>
    </row>
    <row r="1122">
      <c r="A1122" s="255" t="s">
        <v>2225</v>
      </c>
      <c r="B1122" s="248" t="s">
        <v>688</v>
      </c>
      <c r="C1122" s="248" t="s">
        <v>683</v>
      </c>
      <c r="D1122" s="248" t="s">
        <v>512</v>
      </c>
      <c r="E1122" s="248">
        <v>1247.0</v>
      </c>
      <c r="F1122" s="256">
        <v>45145.0</v>
      </c>
      <c r="G1122" s="248">
        <v>2023.0</v>
      </c>
      <c r="H1122" s="248" t="s">
        <v>513</v>
      </c>
      <c r="I1122" s="248" t="s">
        <v>514</v>
      </c>
      <c r="J1122" s="248" t="s">
        <v>309</v>
      </c>
      <c r="K1122" s="249" t="s">
        <v>66</v>
      </c>
      <c r="L1122" s="257" t="s">
        <v>523</v>
      </c>
      <c r="M1122" s="249"/>
      <c r="N1122" s="249"/>
      <c r="O1122" s="249"/>
      <c r="P1122" s="249"/>
      <c r="Q1122" s="249"/>
      <c r="R1122" s="249"/>
      <c r="S1122" s="249"/>
      <c r="T1122" s="249"/>
      <c r="U1122" s="249"/>
      <c r="V1122" s="249"/>
    </row>
    <row r="1123">
      <c r="A1123" s="255" t="s">
        <v>1510</v>
      </c>
      <c r="B1123" s="248" t="s">
        <v>641</v>
      </c>
      <c r="C1123" s="248" t="s">
        <v>633</v>
      </c>
      <c r="D1123" s="248" t="s">
        <v>520</v>
      </c>
      <c r="E1123" s="248">
        <v>632204.0</v>
      </c>
      <c r="F1123" s="256">
        <v>45142.0</v>
      </c>
      <c r="G1123" s="248">
        <v>2023.0</v>
      </c>
      <c r="H1123" s="248" t="s">
        <v>513</v>
      </c>
      <c r="I1123" s="248" t="s">
        <v>514</v>
      </c>
      <c r="J1123" s="248" t="s">
        <v>309</v>
      </c>
      <c r="K1123" s="249" t="s">
        <v>66</v>
      </c>
      <c r="L1123" s="257" t="s">
        <v>523</v>
      </c>
      <c r="M1123" s="249"/>
      <c r="N1123" s="249"/>
      <c r="O1123" s="249"/>
      <c r="P1123" s="249"/>
      <c r="Q1123" s="249"/>
      <c r="R1123" s="249"/>
      <c r="S1123" s="249"/>
      <c r="T1123" s="249"/>
      <c r="U1123" s="249"/>
      <c r="V1123" s="249"/>
    </row>
    <row r="1124">
      <c r="A1124" s="255" t="s">
        <v>2226</v>
      </c>
      <c r="B1124" s="248" t="s">
        <v>845</v>
      </c>
      <c r="C1124" s="248" t="s">
        <v>733</v>
      </c>
      <c r="D1124" s="248" t="s">
        <v>520</v>
      </c>
      <c r="E1124" s="248">
        <v>9179226.0</v>
      </c>
      <c r="F1124" s="256">
        <v>45142.0</v>
      </c>
      <c r="G1124" s="248">
        <v>2023.0</v>
      </c>
      <c r="H1124" s="248" t="s">
        <v>513</v>
      </c>
      <c r="I1124" s="248" t="s">
        <v>514</v>
      </c>
      <c r="J1124" s="248" t="s">
        <v>309</v>
      </c>
      <c r="K1124" s="249" t="s">
        <v>66</v>
      </c>
      <c r="L1124" s="257" t="s">
        <v>523</v>
      </c>
      <c r="M1124" s="249"/>
      <c r="N1124" s="249"/>
      <c r="O1124" s="249"/>
      <c r="P1124" s="249"/>
      <c r="Q1124" s="249"/>
      <c r="R1124" s="249"/>
      <c r="S1124" s="249"/>
      <c r="T1124" s="249"/>
      <c r="U1124" s="249"/>
      <c r="V1124" s="249"/>
    </row>
    <row r="1125">
      <c r="A1125" s="255" t="s">
        <v>2227</v>
      </c>
      <c r="B1125" s="248" t="s">
        <v>75</v>
      </c>
      <c r="C1125" s="248" t="s">
        <v>675</v>
      </c>
      <c r="D1125" s="248" t="s">
        <v>575</v>
      </c>
      <c r="E1125" s="248">
        <v>531732.0</v>
      </c>
      <c r="F1125" s="256">
        <v>45141.0</v>
      </c>
      <c r="G1125" s="248">
        <v>2023.0</v>
      </c>
      <c r="H1125" s="248" t="s">
        <v>513</v>
      </c>
      <c r="I1125" s="248" t="s">
        <v>514</v>
      </c>
      <c r="J1125" s="248" t="s">
        <v>297</v>
      </c>
      <c r="K1125" s="249" t="s">
        <v>66</v>
      </c>
      <c r="L1125" s="257" t="s">
        <v>523</v>
      </c>
      <c r="M1125" s="249"/>
      <c r="N1125" s="249"/>
      <c r="O1125" s="249"/>
      <c r="P1125" s="249"/>
      <c r="Q1125" s="249"/>
      <c r="R1125" s="249"/>
      <c r="S1125" s="249"/>
      <c r="T1125" s="249"/>
      <c r="U1125" s="249"/>
      <c r="V1125" s="249"/>
    </row>
    <row r="1126">
      <c r="A1126" s="255" t="s">
        <v>2228</v>
      </c>
      <c r="B1126" s="248" t="s">
        <v>679</v>
      </c>
      <c r="C1126" s="248" t="s">
        <v>663</v>
      </c>
      <c r="D1126" s="248" t="s">
        <v>575</v>
      </c>
      <c r="E1126" s="248">
        <v>30253.0</v>
      </c>
      <c r="F1126" s="256">
        <v>45141.0</v>
      </c>
      <c r="G1126" s="248">
        <v>2023.0</v>
      </c>
      <c r="H1126" s="248" t="s">
        <v>513</v>
      </c>
      <c r="I1126" s="248" t="s">
        <v>514</v>
      </c>
      <c r="J1126" s="248" t="s">
        <v>297</v>
      </c>
      <c r="K1126" s="249" t="s">
        <v>66</v>
      </c>
      <c r="L1126" s="257" t="s">
        <v>523</v>
      </c>
      <c r="M1126" s="249"/>
      <c r="N1126" s="249"/>
      <c r="O1126" s="249"/>
      <c r="P1126" s="249"/>
      <c r="Q1126" s="249"/>
      <c r="R1126" s="249"/>
      <c r="S1126" s="249"/>
      <c r="T1126" s="249"/>
      <c r="U1126" s="249"/>
      <c r="V1126" s="249"/>
    </row>
    <row r="1127">
      <c r="A1127" s="255" t="s">
        <v>2229</v>
      </c>
      <c r="B1127" s="248" t="s">
        <v>878</v>
      </c>
      <c r="C1127" s="248" t="s">
        <v>643</v>
      </c>
      <c r="D1127" s="248" t="s">
        <v>575</v>
      </c>
      <c r="E1127" s="248">
        <v>4790.0</v>
      </c>
      <c r="F1127" s="256">
        <v>45140.0</v>
      </c>
      <c r="G1127" s="248">
        <v>2023.0</v>
      </c>
      <c r="H1127" s="248" t="s">
        <v>513</v>
      </c>
      <c r="I1127" s="248" t="s">
        <v>521</v>
      </c>
      <c r="J1127" s="248" t="s">
        <v>297</v>
      </c>
      <c r="K1127" s="249" t="s">
        <v>66</v>
      </c>
      <c r="L1127" s="257" t="s">
        <v>523</v>
      </c>
      <c r="M1127" s="249"/>
      <c r="N1127" s="249"/>
      <c r="O1127" s="249"/>
      <c r="P1127" s="249"/>
      <c r="Q1127" s="249"/>
      <c r="R1127" s="249"/>
      <c r="S1127" s="249"/>
      <c r="T1127" s="249"/>
      <c r="U1127" s="249"/>
      <c r="V1127" s="249"/>
    </row>
    <row r="1128">
      <c r="A1128" s="255" t="s">
        <v>2230</v>
      </c>
      <c r="B1128" s="248" t="s">
        <v>75</v>
      </c>
      <c r="C1128" s="248" t="s">
        <v>675</v>
      </c>
      <c r="D1128" s="248" t="s">
        <v>520</v>
      </c>
      <c r="E1128" s="248">
        <v>1.127E7</v>
      </c>
      <c r="F1128" s="256">
        <v>45138.0</v>
      </c>
      <c r="G1128" s="248">
        <v>2023.0</v>
      </c>
      <c r="H1128" s="248" t="s">
        <v>513</v>
      </c>
      <c r="I1128" s="248" t="s">
        <v>514</v>
      </c>
      <c r="J1128" s="248" t="s">
        <v>309</v>
      </c>
      <c r="K1128" s="249" t="s">
        <v>66</v>
      </c>
      <c r="L1128" s="257" t="s">
        <v>523</v>
      </c>
      <c r="M1128" s="249"/>
      <c r="N1128" s="249"/>
      <c r="O1128" s="249"/>
      <c r="P1128" s="249"/>
      <c r="Q1128" s="249"/>
      <c r="R1128" s="249"/>
      <c r="S1128" s="249"/>
      <c r="T1128" s="249"/>
      <c r="U1128" s="249"/>
      <c r="V1128" s="249"/>
    </row>
    <row r="1129">
      <c r="A1129" s="255" t="s">
        <v>2231</v>
      </c>
      <c r="B1129" s="248" t="s">
        <v>641</v>
      </c>
      <c r="C1129" s="248" t="s">
        <v>633</v>
      </c>
      <c r="D1129" s="248" t="s">
        <v>520</v>
      </c>
      <c r="E1129" s="248">
        <v>1027.0</v>
      </c>
      <c r="F1129" s="256">
        <v>45135.0</v>
      </c>
      <c r="G1129" s="248">
        <v>2023.0</v>
      </c>
      <c r="H1129" s="248" t="s">
        <v>513</v>
      </c>
      <c r="I1129" s="248" t="s">
        <v>514</v>
      </c>
      <c r="J1129" s="248" t="s">
        <v>309</v>
      </c>
      <c r="K1129" s="249" t="s">
        <v>66</v>
      </c>
      <c r="L1129" s="257" t="s">
        <v>523</v>
      </c>
      <c r="M1129" s="249"/>
      <c r="N1129" s="249"/>
      <c r="O1129" s="249"/>
      <c r="P1129" s="249"/>
      <c r="Q1129" s="249"/>
      <c r="R1129" s="249"/>
      <c r="S1129" s="249"/>
      <c r="T1129" s="249"/>
      <c r="U1129" s="249"/>
      <c r="V1129" s="249"/>
    </row>
    <row r="1130">
      <c r="A1130" s="255" t="s">
        <v>2232</v>
      </c>
      <c r="B1130" s="248" t="s">
        <v>75</v>
      </c>
      <c r="C1130" s="248" t="s">
        <v>675</v>
      </c>
      <c r="D1130" s="248" t="s">
        <v>512</v>
      </c>
      <c r="E1130" s="248">
        <v>170450.0</v>
      </c>
      <c r="F1130" s="256">
        <v>45135.0</v>
      </c>
      <c r="G1130" s="248">
        <v>2023.0</v>
      </c>
      <c r="H1130" s="248" t="s">
        <v>513</v>
      </c>
      <c r="I1130" s="248" t="s">
        <v>514</v>
      </c>
      <c r="J1130" s="248" t="s">
        <v>297</v>
      </c>
      <c r="K1130" s="249" t="s">
        <v>66</v>
      </c>
      <c r="L1130" s="257" t="s">
        <v>523</v>
      </c>
      <c r="M1130" s="249"/>
      <c r="N1130" s="249"/>
      <c r="O1130" s="249"/>
      <c r="P1130" s="249"/>
      <c r="Q1130" s="249"/>
      <c r="R1130" s="249"/>
      <c r="S1130" s="249"/>
      <c r="T1130" s="249"/>
      <c r="U1130" s="249"/>
      <c r="V1130" s="249"/>
    </row>
    <row r="1131">
      <c r="A1131" s="255" t="s">
        <v>2233</v>
      </c>
      <c r="B1131" s="248" t="s">
        <v>542</v>
      </c>
      <c r="C1131" s="248" t="s">
        <v>543</v>
      </c>
      <c r="D1131" s="248" t="s">
        <v>512</v>
      </c>
      <c r="E1131" s="248">
        <v>2430920.0</v>
      </c>
      <c r="F1131" s="256">
        <v>45135.0</v>
      </c>
      <c r="G1131" s="248">
        <v>2023.0</v>
      </c>
      <c r="H1131" s="248" t="s">
        <v>513</v>
      </c>
      <c r="I1131" s="248" t="s">
        <v>514</v>
      </c>
      <c r="J1131" s="248" t="s">
        <v>297</v>
      </c>
      <c r="K1131" s="249" t="s">
        <v>66</v>
      </c>
      <c r="L1131" s="257" t="s">
        <v>523</v>
      </c>
      <c r="M1131" s="249"/>
      <c r="N1131" s="249"/>
      <c r="O1131" s="249"/>
      <c r="P1131" s="249"/>
      <c r="Q1131" s="249"/>
      <c r="R1131" s="249"/>
      <c r="S1131" s="249"/>
      <c r="T1131" s="249"/>
      <c r="U1131" s="249"/>
      <c r="V1131" s="249"/>
    </row>
    <row r="1132">
      <c r="A1132" s="255" t="s">
        <v>1048</v>
      </c>
      <c r="B1132" s="248" t="s">
        <v>810</v>
      </c>
      <c r="C1132" s="248" t="s">
        <v>655</v>
      </c>
      <c r="D1132" s="248" t="s">
        <v>575</v>
      </c>
      <c r="E1132" s="248">
        <v>2342357.0</v>
      </c>
      <c r="F1132" s="256">
        <v>45135.0</v>
      </c>
      <c r="G1132" s="248">
        <v>2023.0</v>
      </c>
      <c r="H1132" s="248" t="s">
        <v>513</v>
      </c>
      <c r="I1132" s="248" t="s">
        <v>514</v>
      </c>
      <c r="J1132" s="248" t="s">
        <v>309</v>
      </c>
      <c r="K1132" s="249" t="s">
        <v>66</v>
      </c>
      <c r="L1132" s="257" t="s">
        <v>523</v>
      </c>
      <c r="M1132" s="249"/>
      <c r="N1132" s="249"/>
      <c r="O1132" s="249"/>
      <c r="P1132" s="249"/>
      <c r="Q1132" s="249"/>
      <c r="R1132" s="249"/>
      <c r="S1132" s="249"/>
      <c r="T1132" s="249"/>
      <c r="U1132" s="249"/>
      <c r="V1132" s="249"/>
    </row>
    <row r="1133">
      <c r="A1133" s="255" t="s">
        <v>2234</v>
      </c>
      <c r="B1133" s="248" t="s">
        <v>705</v>
      </c>
      <c r="C1133" s="248" t="s">
        <v>706</v>
      </c>
      <c r="D1133" s="248" t="s">
        <v>520</v>
      </c>
      <c r="E1133" s="248">
        <v>3180537.0</v>
      </c>
      <c r="F1133" s="256">
        <v>45134.0</v>
      </c>
      <c r="G1133" s="248">
        <v>2023.0</v>
      </c>
      <c r="H1133" s="248" t="s">
        <v>546</v>
      </c>
      <c r="I1133" s="248" t="s">
        <v>514</v>
      </c>
      <c r="J1133" s="248" t="s">
        <v>297</v>
      </c>
      <c r="K1133" s="249" t="s">
        <v>66</v>
      </c>
      <c r="L1133" s="257" t="s">
        <v>523</v>
      </c>
      <c r="M1133" s="249"/>
      <c r="N1133" s="249"/>
      <c r="O1133" s="249"/>
      <c r="P1133" s="249"/>
      <c r="Q1133" s="249"/>
      <c r="R1133" s="249"/>
      <c r="S1133" s="249"/>
      <c r="T1133" s="249"/>
      <c r="U1133" s="249"/>
      <c r="V1133" s="249"/>
    </row>
    <row r="1134">
      <c r="A1134" s="255" t="s">
        <v>2235</v>
      </c>
      <c r="B1134" s="248" t="s">
        <v>542</v>
      </c>
      <c r="C1134" s="248" t="s">
        <v>543</v>
      </c>
      <c r="D1134" s="248" t="s">
        <v>512</v>
      </c>
      <c r="E1134" s="248">
        <v>19107.0</v>
      </c>
      <c r="F1134" s="256">
        <v>45132.0</v>
      </c>
      <c r="G1134" s="248">
        <v>2023.0</v>
      </c>
      <c r="H1134" s="248" t="s">
        <v>513</v>
      </c>
      <c r="I1134" s="248" t="s">
        <v>514</v>
      </c>
      <c r="J1134" s="248" t="s">
        <v>297</v>
      </c>
      <c r="K1134" s="249" t="s">
        <v>66</v>
      </c>
      <c r="L1134" s="257" t="s">
        <v>523</v>
      </c>
      <c r="M1134" s="249"/>
      <c r="N1134" s="249"/>
      <c r="O1134" s="249"/>
      <c r="P1134" s="249"/>
      <c r="Q1134" s="249"/>
      <c r="R1134" s="249"/>
      <c r="S1134" s="249"/>
      <c r="T1134" s="249"/>
      <c r="U1134" s="249"/>
      <c r="V1134" s="249"/>
    </row>
    <row r="1135">
      <c r="A1135" s="255" t="s">
        <v>2236</v>
      </c>
      <c r="B1135" s="248" t="s">
        <v>1063</v>
      </c>
      <c r="C1135" s="248" t="s">
        <v>759</v>
      </c>
      <c r="D1135" s="248" t="s">
        <v>512</v>
      </c>
      <c r="E1135" s="248">
        <v>62631.0</v>
      </c>
      <c r="F1135" s="256">
        <v>45132.0</v>
      </c>
      <c r="G1135" s="248">
        <v>2023.0</v>
      </c>
      <c r="H1135" s="248" t="s">
        <v>513</v>
      </c>
      <c r="I1135" s="248" t="s">
        <v>514</v>
      </c>
      <c r="J1135" s="248" t="s">
        <v>297</v>
      </c>
      <c r="K1135" s="249" t="s">
        <v>66</v>
      </c>
      <c r="L1135" s="257" t="s">
        <v>523</v>
      </c>
      <c r="M1135" s="249"/>
      <c r="N1135" s="249"/>
      <c r="O1135" s="249"/>
      <c r="P1135" s="249"/>
      <c r="Q1135" s="249"/>
      <c r="R1135" s="249"/>
      <c r="S1135" s="249"/>
      <c r="T1135" s="249"/>
      <c r="U1135" s="249"/>
      <c r="V1135" s="249"/>
    </row>
    <row r="1136">
      <c r="A1136" s="255" t="s">
        <v>2237</v>
      </c>
      <c r="B1136" s="248" t="s">
        <v>530</v>
      </c>
      <c r="C1136" s="248" t="s">
        <v>531</v>
      </c>
      <c r="D1136" s="248" t="s">
        <v>520</v>
      </c>
      <c r="E1136" s="248">
        <v>4722.0</v>
      </c>
      <c r="F1136" s="256">
        <v>45132.0</v>
      </c>
      <c r="G1136" s="248">
        <v>2023.0</v>
      </c>
      <c r="H1136" s="248" t="s">
        <v>513</v>
      </c>
      <c r="I1136" s="248" t="s">
        <v>521</v>
      </c>
      <c r="J1136" s="248" t="s">
        <v>309</v>
      </c>
      <c r="K1136" s="249" t="s">
        <v>66</v>
      </c>
      <c r="L1136" s="257" t="s">
        <v>523</v>
      </c>
      <c r="M1136" s="249"/>
      <c r="N1136" s="249"/>
      <c r="O1136" s="249"/>
      <c r="P1136" s="249"/>
      <c r="Q1136" s="249"/>
      <c r="R1136" s="249"/>
      <c r="S1136" s="249"/>
      <c r="T1136" s="249"/>
      <c r="U1136" s="249"/>
      <c r="V1136" s="249"/>
    </row>
    <row r="1137">
      <c r="A1137" s="255" t="s">
        <v>915</v>
      </c>
      <c r="B1137" s="248" t="s">
        <v>679</v>
      </c>
      <c r="C1137" s="248" t="s">
        <v>663</v>
      </c>
      <c r="D1137" s="248" t="s">
        <v>512</v>
      </c>
      <c r="E1137" s="248">
        <v>98437.0</v>
      </c>
      <c r="F1137" s="256">
        <v>45131.0</v>
      </c>
      <c r="G1137" s="248">
        <v>2023.0</v>
      </c>
      <c r="H1137" s="248" t="s">
        <v>513</v>
      </c>
      <c r="I1137" s="248" t="s">
        <v>514</v>
      </c>
      <c r="J1137" s="248" t="s">
        <v>297</v>
      </c>
      <c r="K1137" s="249" t="s">
        <v>66</v>
      </c>
      <c r="L1137" s="257" t="s">
        <v>523</v>
      </c>
      <c r="M1137" s="249"/>
      <c r="N1137" s="249"/>
      <c r="O1137" s="249"/>
      <c r="P1137" s="249"/>
      <c r="Q1137" s="249"/>
      <c r="R1137" s="249"/>
      <c r="S1137" s="249"/>
      <c r="T1137" s="249"/>
      <c r="U1137" s="249"/>
      <c r="V1137" s="249"/>
    </row>
    <row r="1138">
      <c r="A1138" s="255" t="s">
        <v>2238</v>
      </c>
      <c r="B1138" s="248" t="s">
        <v>688</v>
      </c>
      <c r="C1138" s="248" t="s">
        <v>683</v>
      </c>
      <c r="D1138" s="248" t="s">
        <v>512</v>
      </c>
      <c r="E1138" s="248">
        <v>16390.0</v>
      </c>
      <c r="F1138" s="256">
        <v>45128.0</v>
      </c>
      <c r="G1138" s="248">
        <v>2023.0</v>
      </c>
      <c r="H1138" s="248" t="s">
        <v>546</v>
      </c>
      <c r="I1138" s="248" t="s">
        <v>514</v>
      </c>
      <c r="J1138" s="248" t="s">
        <v>297</v>
      </c>
      <c r="K1138" s="249" t="s">
        <v>66</v>
      </c>
      <c r="L1138" s="257" t="s">
        <v>523</v>
      </c>
      <c r="M1138" s="249"/>
      <c r="N1138" s="249"/>
      <c r="O1138" s="249"/>
      <c r="P1138" s="249"/>
      <c r="Q1138" s="249"/>
      <c r="R1138" s="249"/>
      <c r="S1138" s="249"/>
      <c r="T1138" s="249"/>
      <c r="U1138" s="249"/>
      <c r="V1138" s="249"/>
    </row>
    <row r="1139">
      <c r="A1139" s="255" t="s">
        <v>2239</v>
      </c>
      <c r="B1139" s="248" t="s">
        <v>1440</v>
      </c>
      <c r="C1139" s="248" t="s">
        <v>762</v>
      </c>
      <c r="D1139" s="248" t="s">
        <v>512</v>
      </c>
      <c r="E1139" s="248">
        <v>51854.0</v>
      </c>
      <c r="F1139" s="256">
        <v>45128.0</v>
      </c>
      <c r="G1139" s="248">
        <v>2023.0</v>
      </c>
      <c r="H1139" s="248" t="s">
        <v>513</v>
      </c>
      <c r="I1139" s="248" t="s">
        <v>514</v>
      </c>
      <c r="J1139" s="248" t="s">
        <v>297</v>
      </c>
      <c r="K1139" s="249" t="s">
        <v>66</v>
      </c>
      <c r="L1139" s="257" t="s">
        <v>523</v>
      </c>
      <c r="M1139" s="249"/>
      <c r="N1139" s="249"/>
      <c r="O1139" s="249"/>
      <c r="P1139" s="249"/>
      <c r="Q1139" s="249"/>
      <c r="R1139" s="249"/>
      <c r="S1139" s="249"/>
      <c r="T1139" s="249"/>
      <c r="U1139" s="249"/>
      <c r="V1139" s="249"/>
    </row>
    <row r="1140">
      <c r="A1140" s="255" t="s">
        <v>2240</v>
      </c>
      <c r="B1140" s="248" t="s">
        <v>748</v>
      </c>
      <c r="C1140" s="248" t="s">
        <v>694</v>
      </c>
      <c r="D1140" s="248" t="s">
        <v>512</v>
      </c>
      <c r="E1140" s="248">
        <v>1900.0</v>
      </c>
      <c r="F1140" s="256">
        <v>45127.0</v>
      </c>
      <c r="G1140" s="248">
        <v>2023.0</v>
      </c>
      <c r="H1140" s="248" t="s">
        <v>513</v>
      </c>
      <c r="I1140" s="248" t="s">
        <v>2241</v>
      </c>
      <c r="J1140" s="248" t="s">
        <v>297</v>
      </c>
      <c r="K1140" s="249" t="s">
        <v>66</v>
      </c>
      <c r="L1140" s="257" t="s">
        <v>523</v>
      </c>
      <c r="M1140" s="249"/>
      <c r="N1140" s="249"/>
      <c r="O1140" s="249"/>
      <c r="P1140" s="249"/>
      <c r="Q1140" s="249"/>
      <c r="R1140" s="249"/>
      <c r="S1140" s="249"/>
      <c r="T1140" s="249"/>
      <c r="U1140" s="249"/>
      <c r="V1140" s="249"/>
    </row>
    <row r="1141">
      <c r="A1141" s="255" t="s">
        <v>2242</v>
      </c>
      <c r="B1141" s="248" t="s">
        <v>75</v>
      </c>
      <c r="C1141" s="248" t="s">
        <v>675</v>
      </c>
      <c r="D1141" s="248" t="s">
        <v>575</v>
      </c>
      <c r="E1141" s="248">
        <v>2031.0</v>
      </c>
      <c r="F1141" s="256">
        <v>45125.0</v>
      </c>
      <c r="G1141" s="248">
        <v>2023.0</v>
      </c>
      <c r="H1141" s="248" t="s">
        <v>513</v>
      </c>
      <c r="I1141" s="248" t="s">
        <v>514</v>
      </c>
      <c r="J1141" s="248" t="s">
        <v>309</v>
      </c>
      <c r="K1141" s="249" t="s">
        <v>66</v>
      </c>
      <c r="L1141" s="257" t="s">
        <v>523</v>
      </c>
      <c r="M1141" s="249"/>
      <c r="N1141" s="249"/>
      <c r="O1141" s="249"/>
      <c r="P1141" s="249"/>
      <c r="Q1141" s="249"/>
      <c r="R1141" s="249"/>
      <c r="S1141" s="249"/>
      <c r="T1141" s="249"/>
      <c r="U1141" s="249"/>
      <c r="V1141" s="249"/>
    </row>
    <row r="1142">
      <c r="A1142" s="255" t="s">
        <v>2243</v>
      </c>
      <c r="B1142" s="248" t="s">
        <v>924</v>
      </c>
      <c r="C1142" s="248" t="s">
        <v>725</v>
      </c>
      <c r="D1142" s="248" t="s">
        <v>512</v>
      </c>
      <c r="E1142" s="248">
        <v>9383.0</v>
      </c>
      <c r="F1142" s="256">
        <v>45125.0</v>
      </c>
      <c r="G1142" s="248">
        <v>2023.0</v>
      </c>
      <c r="H1142" s="248" t="s">
        <v>513</v>
      </c>
      <c r="I1142" s="248" t="s">
        <v>514</v>
      </c>
      <c r="J1142" s="248" t="s">
        <v>297</v>
      </c>
      <c r="K1142" s="249" t="s">
        <v>66</v>
      </c>
      <c r="L1142" s="257" t="s">
        <v>523</v>
      </c>
      <c r="M1142" s="249"/>
      <c r="N1142" s="249"/>
      <c r="O1142" s="249"/>
      <c r="P1142" s="249"/>
      <c r="Q1142" s="249"/>
      <c r="R1142" s="249"/>
      <c r="S1142" s="249"/>
      <c r="T1142" s="249"/>
      <c r="U1142" s="249"/>
      <c r="V1142" s="249"/>
    </row>
    <row r="1143">
      <c r="A1143" s="255" t="s">
        <v>2244</v>
      </c>
      <c r="B1143" s="248" t="s">
        <v>924</v>
      </c>
      <c r="C1143" s="248" t="s">
        <v>725</v>
      </c>
      <c r="D1143" s="248" t="s">
        <v>512</v>
      </c>
      <c r="E1143" s="248">
        <v>3338.0</v>
      </c>
      <c r="F1143" s="256">
        <v>45120.0</v>
      </c>
      <c r="G1143" s="248">
        <v>2023.0</v>
      </c>
      <c r="H1143" s="248" t="s">
        <v>513</v>
      </c>
      <c r="I1143" s="248" t="s">
        <v>514</v>
      </c>
      <c r="J1143" s="248" t="s">
        <v>297</v>
      </c>
      <c r="K1143" s="249" t="s">
        <v>66</v>
      </c>
      <c r="L1143" s="257" t="s">
        <v>523</v>
      </c>
      <c r="M1143" s="249"/>
      <c r="N1143" s="249"/>
      <c r="O1143" s="249"/>
      <c r="P1143" s="249"/>
      <c r="Q1143" s="249"/>
      <c r="R1143" s="249"/>
      <c r="S1143" s="249"/>
      <c r="T1143" s="249"/>
      <c r="U1143" s="249"/>
      <c r="V1143" s="249"/>
    </row>
    <row r="1144">
      <c r="A1144" s="255" t="s">
        <v>2245</v>
      </c>
      <c r="B1144" s="248" t="s">
        <v>679</v>
      </c>
      <c r="C1144" s="248" t="s">
        <v>663</v>
      </c>
      <c r="D1144" s="248" t="s">
        <v>512</v>
      </c>
      <c r="E1144" s="248">
        <v>13184.0</v>
      </c>
      <c r="F1144" s="256">
        <v>45120.0</v>
      </c>
      <c r="G1144" s="248">
        <v>2023.0</v>
      </c>
      <c r="H1144" s="248" t="s">
        <v>556</v>
      </c>
      <c r="I1144" s="248" t="s">
        <v>547</v>
      </c>
      <c r="J1144" s="248" t="s">
        <v>297</v>
      </c>
      <c r="K1144" s="249" t="s">
        <v>66</v>
      </c>
      <c r="L1144" s="257" t="s">
        <v>523</v>
      </c>
      <c r="M1144" s="249"/>
      <c r="N1144" s="249"/>
      <c r="O1144" s="249"/>
      <c r="P1144" s="249"/>
      <c r="Q1144" s="249"/>
      <c r="R1144" s="249"/>
      <c r="S1144" s="249"/>
      <c r="T1144" s="249"/>
      <c r="U1144" s="249"/>
      <c r="V1144" s="249"/>
    </row>
    <row r="1145">
      <c r="A1145" s="255" t="s">
        <v>2246</v>
      </c>
      <c r="B1145" s="248" t="s">
        <v>611</v>
      </c>
      <c r="C1145" s="248" t="s">
        <v>612</v>
      </c>
      <c r="D1145" s="248" t="s">
        <v>512</v>
      </c>
      <c r="E1145" s="248">
        <v>83869.0</v>
      </c>
      <c r="F1145" s="256">
        <v>45119.0</v>
      </c>
      <c r="G1145" s="248">
        <v>2023.0</v>
      </c>
      <c r="H1145" s="248" t="s">
        <v>513</v>
      </c>
      <c r="I1145" s="248" t="s">
        <v>514</v>
      </c>
      <c r="J1145" s="248" t="s">
        <v>297</v>
      </c>
      <c r="K1145" s="249" t="s">
        <v>66</v>
      </c>
      <c r="L1145" s="257" t="s">
        <v>523</v>
      </c>
      <c r="M1145" s="249"/>
      <c r="N1145" s="249"/>
      <c r="O1145" s="249"/>
      <c r="P1145" s="249"/>
      <c r="Q1145" s="249"/>
      <c r="R1145" s="249"/>
      <c r="S1145" s="249"/>
      <c r="T1145" s="249"/>
      <c r="U1145" s="249"/>
      <c r="V1145" s="249"/>
    </row>
    <row r="1146">
      <c r="A1146" s="255" t="s">
        <v>2247</v>
      </c>
      <c r="B1146" s="248" t="s">
        <v>679</v>
      </c>
      <c r="C1146" s="248" t="s">
        <v>663</v>
      </c>
      <c r="D1146" s="248" t="s">
        <v>512</v>
      </c>
      <c r="E1146" s="248">
        <v>5922.0</v>
      </c>
      <c r="F1146" s="256">
        <v>45119.0</v>
      </c>
      <c r="G1146" s="248">
        <v>2023.0</v>
      </c>
      <c r="H1146" s="248" t="s">
        <v>513</v>
      </c>
      <c r="I1146" s="248" t="s">
        <v>521</v>
      </c>
      <c r="J1146" s="248" t="s">
        <v>297</v>
      </c>
      <c r="K1146" s="249" t="s">
        <v>66</v>
      </c>
      <c r="L1146" s="257" t="s">
        <v>523</v>
      </c>
      <c r="M1146" s="249"/>
      <c r="N1146" s="249"/>
      <c r="O1146" s="249"/>
      <c r="P1146" s="249"/>
      <c r="Q1146" s="249"/>
      <c r="R1146" s="249"/>
      <c r="S1146" s="249"/>
      <c r="T1146" s="249"/>
      <c r="U1146" s="249"/>
      <c r="V1146" s="249"/>
    </row>
    <row r="1147">
      <c r="A1147" s="255" t="s">
        <v>2248</v>
      </c>
      <c r="B1147" s="248" t="s">
        <v>611</v>
      </c>
      <c r="C1147" s="248" t="s">
        <v>612</v>
      </c>
      <c r="D1147" s="248" t="s">
        <v>512</v>
      </c>
      <c r="E1147" s="248">
        <v>77405.0</v>
      </c>
      <c r="F1147" s="256">
        <v>45118.0</v>
      </c>
      <c r="G1147" s="248">
        <v>2023.0</v>
      </c>
      <c r="H1147" s="248" t="s">
        <v>513</v>
      </c>
      <c r="I1147" s="248" t="s">
        <v>514</v>
      </c>
      <c r="J1147" s="248" t="s">
        <v>297</v>
      </c>
      <c r="K1147" s="249" t="s">
        <v>66</v>
      </c>
      <c r="L1147" s="257" t="s">
        <v>523</v>
      </c>
      <c r="M1147" s="249"/>
      <c r="N1147" s="249"/>
      <c r="O1147" s="249"/>
      <c r="P1147" s="249"/>
      <c r="Q1147" s="249"/>
      <c r="R1147" s="249"/>
      <c r="S1147" s="249"/>
      <c r="T1147" s="249"/>
      <c r="U1147" s="249"/>
      <c r="V1147" s="249"/>
    </row>
    <row r="1148">
      <c r="A1148" s="255" t="s">
        <v>2249</v>
      </c>
      <c r="B1148" s="248" t="s">
        <v>578</v>
      </c>
      <c r="C1148" s="248" t="s">
        <v>579</v>
      </c>
      <c r="D1148" s="248" t="s">
        <v>512</v>
      </c>
      <c r="E1148" s="248">
        <v>9895.0</v>
      </c>
      <c r="F1148" s="256">
        <v>45114.0</v>
      </c>
      <c r="G1148" s="248">
        <v>2023.0</v>
      </c>
      <c r="H1148" s="248" t="s">
        <v>513</v>
      </c>
      <c r="I1148" s="248" t="s">
        <v>514</v>
      </c>
      <c r="J1148" s="248" t="s">
        <v>297</v>
      </c>
      <c r="K1148" s="249" t="s">
        <v>66</v>
      </c>
      <c r="L1148" s="257" t="s">
        <v>523</v>
      </c>
      <c r="M1148" s="249"/>
      <c r="N1148" s="249"/>
      <c r="O1148" s="249"/>
      <c r="P1148" s="249"/>
      <c r="Q1148" s="249"/>
      <c r="R1148" s="249"/>
      <c r="S1148" s="249"/>
      <c r="T1148" s="249"/>
      <c r="U1148" s="249"/>
      <c r="V1148" s="249"/>
    </row>
    <row r="1149">
      <c r="A1149" s="255" t="s">
        <v>2250</v>
      </c>
      <c r="B1149" s="248" t="s">
        <v>542</v>
      </c>
      <c r="C1149" s="248" t="s">
        <v>543</v>
      </c>
      <c r="D1149" s="248" t="s">
        <v>520</v>
      </c>
      <c r="E1149" s="248">
        <v>209200.0</v>
      </c>
      <c r="F1149" s="256">
        <v>45114.0</v>
      </c>
      <c r="G1149" s="248">
        <v>2023.0</v>
      </c>
      <c r="H1149" s="248" t="s">
        <v>513</v>
      </c>
      <c r="I1149" s="248" t="s">
        <v>514</v>
      </c>
      <c r="J1149" s="248" t="s">
        <v>309</v>
      </c>
      <c r="K1149" s="249" t="s">
        <v>66</v>
      </c>
      <c r="L1149" s="257" t="s">
        <v>523</v>
      </c>
      <c r="M1149" s="249"/>
      <c r="N1149" s="249"/>
      <c r="O1149" s="249"/>
      <c r="P1149" s="249"/>
      <c r="Q1149" s="249"/>
      <c r="R1149" s="249"/>
      <c r="S1149" s="249"/>
      <c r="T1149" s="249"/>
      <c r="U1149" s="249"/>
      <c r="V1149" s="249"/>
    </row>
    <row r="1150">
      <c r="A1150" s="255" t="s">
        <v>2251</v>
      </c>
      <c r="B1150" s="248" t="s">
        <v>641</v>
      </c>
      <c r="C1150" s="248" t="s">
        <v>633</v>
      </c>
      <c r="D1150" s="248" t="s">
        <v>512</v>
      </c>
      <c r="E1150" s="248">
        <v>3560.0</v>
      </c>
      <c r="F1150" s="256">
        <v>45114.0</v>
      </c>
      <c r="G1150" s="248">
        <v>2023.0</v>
      </c>
      <c r="H1150" s="248" t="s">
        <v>513</v>
      </c>
      <c r="I1150" s="248" t="s">
        <v>521</v>
      </c>
      <c r="J1150" s="248" t="s">
        <v>297</v>
      </c>
      <c r="K1150" s="249" t="s">
        <v>66</v>
      </c>
      <c r="L1150" s="257" t="s">
        <v>523</v>
      </c>
      <c r="M1150" s="249"/>
      <c r="N1150" s="249"/>
      <c r="O1150" s="249"/>
      <c r="P1150" s="249"/>
      <c r="Q1150" s="249"/>
      <c r="R1150" s="249"/>
      <c r="S1150" s="249"/>
      <c r="T1150" s="249"/>
      <c r="U1150" s="249"/>
      <c r="V1150" s="249"/>
    </row>
    <row r="1151">
      <c r="A1151" s="255" t="s">
        <v>2252</v>
      </c>
      <c r="B1151" s="248" t="s">
        <v>573</v>
      </c>
      <c r="C1151" s="248" t="s">
        <v>574</v>
      </c>
      <c r="D1151" s="248" t="s">
        <v>520</v>
      </c>
      <c r="E1151" s="248">
        <v>1004.0</v>
      </c>
      <c r="F1151" s="256">
        <v>45114.0</v>
      </c>
      <c r="G1151" s="248">
        <v>2023.0</v>
      </c>
      <c r="H1151" s="248" t="s">
        <v>546</v>
      </c>
      <c r="I1151" s="248" t="s">
        <v>514</v>
      </c>
      <c r="J1151" s="248" t="s">
        <v>309</v>
      </c>
      <c r="K1151" s="249" t="s">
        <v>66</v>
      </c>
      <c r="L1151" s="257" t="s">
        <v>523</v>
      </c>
      <c r="M1151" s="249"/>
      <c r="N1151" s="249"/>
      <c r="O1151" s="249"/>
      <c r="P1151" s="249"/>
      <c r="Q1151" s="249"/>
      <c r="R1151" s="249"/>
      <c r="S1151" s="249"/>
      <c r="T1151" s="249"/>
      <c r="U1151" s="249"/>
      <c r="V1151" s="249"/>
    </row>
    <row r="1152">
      <c r="A1152" s="255" t="s">
        <v>2253</v>
      </c>
      <c r="B1152" s="248" t="s">
        <v>611</v>
      </c>
      <c r="C1152" s="248" t="s">
        <v>612</v>
      </c>
      <c r="D1152" s="248" t="s">
        <v>512</v>
      </c>
      <c r="E1152" s="248">
        <v>41166.0</v>
      </c>
      <c r="F1152" s="256">
        <v>45107.0</v>
      </c>
      <c r="G1152" s="248">
        <v>2023.0</v>
      </c>
      <c r="H1152" s="248" t="s">
        <v>546</v>
      </c>
      <c r="I1152" s="248" t="s">
        <v>521</v>
      </c>
      <c r="J1152" s="248" t="s">
        <v>297</v>
      </c>
      <c r="K1152" s="249" t="s">
        <v>66</v>
      </c>
      <c r="L1152" s="257" t="s">
        <v>523</v>
      </c>
      <c r="M1152" s="249"/>
      <c r="N1152" s="249"/>
      <c r="O1152" s="249"/>
      <c r="P1152" s="249"/>
      <c r="Q1152" s="249"/>
      <c r="R1152" s="249"/>
      <c r="S1152" s="249"/>
      <c r="T1152" s="249"/>
      <c r="U1152" s="249"/>
      <c r="V1152" s="249"/>
    </row>
    <row r="1153">
      <c r="A1153" s="255" t="s">
        <v>2254</v>
      </c>
      <c r="B1153" s="248" t="s">
        <v>1440</v>
      </c>
      <c r="C1153" s="248" t="s">
        <v>762</v>
      </c>
      <c r="D1153" s="248" t="s">
        <v>512</v>
      </c>
      <c r="E1153" s="248">
        <v>29952.0</v>
      </c>
      <c r="F1153" s="256">
        <v>45107.0</v>
      </c>
      <c r="G1153" s="248">
        <v>2023.0</v>
      </c>
      <c r="H1153" s="248" t="s">
        <v>513</v>
      </c>
      <c r="I1153" s="248" t="s">
        <v>514</v>
      </c>
      <c r="J1153" s="248" t="s">
        <v>297</v>
      </c>
      <c r="K1153" s="249" t="s">
        <v>66</v>
      </c>
      <c r="L1153" s="257" t="s">
        <v>523</v>
      </c>
      <c r="M1153" s="249"/>
      <c r="N1153" s="249"/>
      <c r="O1153" s="249"/>
      <c r="P1153" s="249"/>
      <c r="Q1153" s="249"/>
      <c r="R1153" s="249"/>
      <c r="S1153" s="249"/>
      <c r="T1153" s="249"/>
      <c r="U1153" s="249"/>
      <c r="V1153" s="249"/>
    </row>
    <row r="1154">
      <c r="A1154" s="255" t="s">
        <v>2255</v>
      </c>
      <c r="B1154" s="248" t="s">
        <v>538</v>
      </c>
      <c r="C1154" s="248" t="s">
        <v>539</v>
      </c>
      <c r="D1154" s="248" t="s">
        <v>512</v>
      </c>
      <c r="E1154" s="248">
        <v>5340.0</v>
      </c>
      <c r="F1154" s="256">
        <v>45107.0</v>
      </c>
      <c r="G1154" s="248">
        <v>2023.0</v>
      </c>
      <c r="H1154" s="248" t="s">
        <v>513</v>
      </c>
      <c r="I1154" s="248" t="s">
        <v>521</v>
      </c>
      <c r="J1154" s="248" t="s">
        <v>297</v>
      </c>
      <c r="K1154" s="249" t="s">
        <v>66</v>
      </c>
      <c r="L1154" s="257" t="s">
        <v>523</v>
      </c>
      <c r="M1154" s="249"/>
      <c r="N1154" s="249"/>
      <c r="O1154" s="249"/>
      <c r="P1154" s="249"/>
      <c r="Q1154" s="249"/>
      <c r="R1154" s="249"/>
      <c r="S1154" s="249"/>
      <c r="T1154" s="249"/>
      <c r="U1154" s="249"/>
      <c r="V1154" s="249"/>
    </row>
    <row r="1155">
      <c r="A1155" s="255" t="s">
        <v>1072</v>
      </c>
      <c r="B1155" s="248" t="s">
        <v>810</v>
      </c>
      <c r="C1155" s="248" t="s">
        <v>655</v>
      </c>
      <c r="D1155" s="248" t="s">
        <v>520</v>
      </c>
      <c r="E1155" s="248">
        <v>319485.0</v>
      </c>
      <c r="F1155" s="256">
        <v>45106.0</v>
      </c>
      <c r="G1155" s="248">
        <v>2023.0</v>
      </c>
      <c r="H1155" s="248" t="s">
        <v>513</v>
      </c>
      <c r="I1155" s="248" t="s">
        <v>514</v>
      </c>
      <c r="J1155" s="248" t="s">
        <v>309</v>
      </c>
      <c r="K1155" s="249" t="s">
        <v>66</v>
      </c>
      <c r="L1155" s="257" t="s">
        <v>523</v>
      </c>
      <c r="M1155" s="249"/>
      <c r="N1155" s="249"/>
      <c r="O1155" s="249"/>
      <c r="P1155" s="249"/>
      <c r="Q1155" s="249"/>
      <c r="R1155" s="249"/>
      <c r="S1155" s="249"/>
      <c r="T1155" s="249"/>
      <c r="U1155" s="249"/>
      <c r="V1155" s="249"/>
    </row>
    <row r="1156">
      <c r="A1156" s="255" t="s">
        <v>2256</v>
      </c>
      <c r="B1156" s="248" t="s">
        <v>586</v>
      </c>
      <c r="C1156" s="248" t="s">
        <v>587</v>
      </c>
      <c r="D1156" s="248" t="s">
        <v>512</v>
      </c>
      <c r="E1156" s="248">
        <v>93761.0</v>
      </c>
      <c r="F1156" s="256">
        <v>45100.0</v>
      </c>
      <c r="G1156" s="248">
        <v>2023.0</v>
      </c>
      <c r="H1156" s="248" t="s">
        <v>513</v>
      </c>
      <c r="I1156" s="248" t="s">
        <v>514</v>
      </c>
      <c r="J1156" s="248" t="s">
        <v>297</v>
      </c>
      <c r="K1156" s="249" t="s">
        <v>66</v>
      </c>
      <c r="L1156" s="257" t="s">
        <v>523</v>
      </c>
      <c r="M1156" s="249"/>
      <c r="N1156" s="249"/>
      <c r="O1156" s="249"/>
      <c r="P1156" s="249"/>
      <c r="Q1156" s="249"/>
      <c r="R1156" s="249"/>
      <c r="S1156" s="249"/>
      <c r="T1156" s="249"/>
      <c r="U1156" s="249"/>
      <c r="V1156" s="249"/>
    </row>
    <row r="1157">
      <c r="A1157" s="255" t="s">
        <v>2257</v>
      </c>
      <c r="B1157" s="248" t="s">
        <v>530</v>
      </c>
      <c r="C1157" s="248" t="s">
        <v>531</v>
      </c>
      <c r="D1157" s="248" t="s">
        <v>520</v>
      </c>
      <c r="E1157" s="248">
        <v>63713.0</v>
      </c>
      <c r="F1157" s="256">
        <v>45099.0</v>
      </c>
      <c r="G1157" s="248">
        <v>2023.0</v>
      </c>
      <c r="H1157" s="248" t="s">
        <v>513</v>
      </c>
      <c r="I1157" s="248" t="s">
        <v>514</v>
      </c>
      <c r="J1157" s="248" t="s">
        <v>309</v>
      </c>
      <c r="K1157" s="249" t="s">
        <v>66</v>
      </c>
      <c r="L1157" s="257" t="s">
        <v>523</v>
      </c>
      <c r="M1157" s="249"/>
      <c r="N1157" s="249"/>
      <c r="O1157" s="249"/>
      <c r="P1157" s="249"/>
      <c r="Q1157" s="249"/>
      <c r="R1157" s="249"/>
      <c r="S1157" s="249"/>
      <c r="T1157" s="249"/>
      <c r="U1157" s="249"/>
      <c r="V1157" s="249"/>
    </row>
    <row r="1158">
      <c r="A1158" s="255" t="s">
        <v>2258</v>
      </c>
      <c r="B1158" s="248" t="s">
        <v>850</v>
      </c>
      <c r="C1158" s="248" t="s">
        <v>723</v>
      </c>
      <c r="D1158" s="248" t="s">
        <v>512</v>
      </c>
      <c r="E1158" s="248">
        <v>48336.0</v>
      </c>
      <c r="F1158" s="256">
        <v>45098.0</v>
      </c>
      <c r="G1158" s="248">
        <v>2023.0</v>
      </c>
      <c r="H1158" s="248" t="s">
        <v>513</v>
      </c>
      <c r="I1158" s="248" t="s">
        <v>514</v>
      </c>
      <c r="J1158" s="248" t="s">
        <v>297</v>
      </c>
      <c r="K1158" s="249" t="s">
        <v>66</v>
      </c>
      <c r="L1158" s="257" t="s">
        <v>523</v>
      </c>
      <c r="M1158" s="249"/>
      <c r="N1158" s="249"/>
      <c r="O1158" s="249"/>
      <c r="P1158" s="249"/>
      <c r="Q1158" s="249"/>
      <c r="R1158" s="249"/>
      <c r="S1158" s="249"/>
      <c r="T1158" s="249"/>
      <c r="U1158" s="249"/>
      <c r="V1158" s="249"/>
    </row>
    <row r="1159">
      <c r="A1159" s="255" t="s">
        <v>2259</v>
      </c>
      <c r="B1159" s="248" t="s">
        <v>75</v>
      </c>
      <c r="C1159" s="248" t="s">
        <v>675</v>
      </c>
      <c r="D1159" s="248" t="s">
        <v>512</v>
      </c>
      <c r="E1159" s="248">
        <v>559000.0</v>
      </c>
      <c r="F1159" s="256">
        <v>45098.0</v>
      </c>
      <c r="G1159" s="248">
        <v>2023.0</v>
      </c>
      <c r="H1159" s="248" t="s">
        <v>513</v>
      </c>
      <c r="I1159" s="248" t="s">
        <v>514</v>
      </c>
      <c r="J1159" s="248" t="s">
        <v>297</v>
      </c>
      <c r="K1159" s="249" t="s">
        <v>66</v>
      </c>
      <c r="L1159" s="257" t="s">
        <v>523</v>
      </c>
      <c r="M1159" s="249"/>
      <c r="N1159" s="249"/>
      <c r="O1159" s="249"/>
      <c r="P1159" s="249"/>
      <c r="Q1159" s="249"/>
      <c r="R1159" s="249"/>
      <c r="S1159" s="249"/>
      <c r="T1159" s="249"/>
      <c r="U1159" s="249"/>
      <c r="V1159" s="249"/>
    </row>
    <row r="1160">
      <c r="A1160" s="255" t="s">
        <v>2260</v>
      </c>
      <c r="B1160" s="248" t="s">
        <v>564</v>
      </c>
      <c r="C1160" s="248" t="s">
        <v>565</v>
      </c>
      <c r="D1160" s="248" t="s">
        <v>512</v>
      </c>
      <c r="E1160" s="248">
        <v>34691.0</v>
      </c>
      <c r="F1160" s="256">
        <v>45096.0</v>
      </c>
      <c r="G1160" s="248">
        <v>2023.0</v>
      </c>
      <c r="H1160" s="248" t="s">
        <v>513</v>
      </c>
      <c r="I1160" s="248" t="s">
        <v>514</v>
      </c>
      <c r="J1160" s="248" t="s">
        <v>297</v>
      </c>
      <c r="K1160" s="249" t="s">
        <v>66</v>
      </c>
      <c r="L1160" s="257" t="s">
        <v>523</v>
      </c>
      <c r="M1160" s="249"/>
      <c r="N1160" s="249"/>
      <c r="O1160" s="249"/>
      <c r="P1160" s="249"/>
      <c r="Q1160" s="249"/>
      <c r="R1160" s="249"/>
      <c r="S1160" s="249"/>
      <c r="T1160" s="249"/>
      <c r="U1160" s="249"/>
      <c r="V1160" s="249"/>
    </row>
    <row r="1161">
      <c r="A1161" s="255" t="s">
        <v>2261</v>
      </c>
      <c r="B1161" s="248" t="s">
        <v>748</v>
      </c>
      <c r="C1161" s="248" t="s">
        <v>694</v>
      </c>
      <c r="D1161" s="248" t="s">
        <v>512</v>
      </c>
      <c r="E1161" s="248">
        <v>3679.0</v>
      </c>
      <c r="F1161" s="256">
        <v>45093.0</v>
      </c>
      <c r="G1161" s="248">
        <v>2023.0</v>
      </c>
      <c r="H1161" s="248" t="s">
        <v>513</v>
      </c>
      <c r="I1161" s="248" t="s">
        <v>521</v>
      </c>
      <c r="J1161" s="248" t="s">
        <v>297</v>
      </c>
      <c r="K1161" s="249" t="s">
        <v>66</v>
      </c>
      <c r="L1161" s="257" t="s">
        <v>523</v>
      </c>
      <c r="M1161" s="249"/>
      <c r="N1161" s="249"/>
      <c r="O1161" s="249"/>
      <c r="P1161" s="249"/>
      <c r="Q1161" s="249"/>
      <c r="R1161" s="249"/>
      <c r="S1161" s="249"/>
      <c r="T1161" s="249"/>
      <c r="U1161" s="249"/>
      <c r="V1161" s="249"/>
    </row>
    <row r="1162">
      <c r="A1162" s="255" t="s">
        <v>2262</v>
      </c>
      <c r="B1162" s="248" t="s">
        <v>590</v>
      </c>
      <c r="C1162" s="248" t="s">
        <v>591</v>
      </c>
      <c r="D1162" s="248" t="s">
        <v>512</v>
      </c>
      <c r="E1162" s="248">
        <v>12317.0</v>
      </c>
      <c r="F1162" s="256">
        <v>45093.0</v>
      </c>
      <c r="G1162" s="248">
        <v>2023.0</v>
      </c>
      <c r="H1162" s="248" t="s">
        <v>513</v>
      </c>
      <c r="I1162" s="248" t="s">
        <v>514</v>
      </c>
      <c r="J1162" s="248" t="s">
        <v>297</v>
      </c>
      <c r="K1162" s="249" t="s">
        <v>66</v>
      </c>
      <c r="L1162" s="257" t="s">
        <v>523</v>
      </c>
      <c r="M1162" s="249"/>
      <c r="N1162" s="249"/>
      <c r="O1162" s="249"/>
      <c r="P1162" s="249"/>
      <c r="Q1162" s="249"/>
      <c r="R1162" s="249"/>
      <c r="S1162" s="249"/>
      <c r="T1162" s="249"/>
      <c r="U1162" s="249"/>
      <c r="V1162" s="249"/>
    </row>
    <row r="1163">
      <c r="A1163" s="255" t="s">
        <v>2263</v>
      </c>
      <c r="B1163" s="248" t="s">
        <v>641</v>
      </c>
      <c r="C1163" s="248" t="s">
        <v>633</v>
      </c>
      <c r="D1163" s="248" t="s">
        <v>575</v>
      </c>
      <c r="E1163" s="248">
        <v>1048.0</v>
      </c>
      <c r="F1163" s="256">
        <v>45085.0</v>
      </c>
      <c r="G1163" s="248">
        <v>2023.0</v>
      </c>
      <c r="H1163" s="248" t="s">
        <v>513</v>
      </c>
      <c r="I1163" s="248" t="s">
        <v>514</v>
      </c>
      <c r="J1163" s="248" t="s">
        <v>297</v>
      </c>
      <c r="K1163" s="249" t="s">
        <v>66</v>
      </c>
      <c r="L1163" s="257" t="s">
        <v>523</v>
      </c>
      <c r="M1163" s="249"/>
      <c r="N1163" s="249"/>
      <c r="O1163" s="249"/>
      <c r="P1163" s="249"/>
      <c r="Q1163" s="249"/>
      <c r="R1163" s="249"/>
      <c r="S1163" s="249"/>
      <c r="T1163" s="249"/>
      <c r="U1163" s="249"/>
      <c r="V1163" s="249"/>
    </row>
    <row r="1164">
      <c r="A1164" s="255" t="s">
        <v>2264</v>
      </c>
      <c r="B1164" s="248" t="s">
        <v>75</v>
      </c>
      <c r="C1164" s="248" t="s">
        <v>675</v>
      </c>
      <c r="D1164" s="248" t="s">
        <v>520</v>
      </c>
      <c r="E1164" s="248">
        <v>489830.0</v>
      </c>
      <c r="F1164" s="256">
        <v>45085.0</v>
      </c>
      <c r="G1164" s="248">
        <v>2023.0</v>
      </c>
      <c r="H1164" s="248" t="s">
        <v>513</v>
      </c>
      <c r="I1164" s="248" t="s">
        <v>514</v>
      </c>
      <c r="J1164" s="248" t="s">
        <v>309</v>
      </c>
      <c r="K1164" s="249" t="s">
        <v>66</v>
      </c>
      <c r="L1164" s="257" t="s">
        <v>523</v>
      </c>
      <c r="M1164" s="249"/>
      <c r="N1164" s="249"/>
      <c r="O1164" s="249"/>
      <c r="P1164" s="249"/>
      <c r="Q1164" s="249"/>
      <c r="R1164" s="249"/>
      <c r="S1164" s="249"/>
      <c r="T1164" s="249"/>
      <c r="U1164" s="249"/>
      <c r="V1164" s="249"/>
    </row>
    <row r="1165">
      <c r="A1165" s="255" t="s">
        <v>1586</v>
      </c>
      <c r="B1165" s="248" t="s">
        <v>573</v>
      </c>
      <c r="C1165" s="248" t="s">
        <v>574</v>
      </c>
      <c r="D1165" s="248" t="s">
        <v>512</v>
      </c>
      <c r="E1165" s="248">
        <v>2470000.0</v>
      </c>
      <c r="F1165" s="256">
        <v>45082.0</v>
      </c>
      <c r="G1165" s="248">
        <v>2023.0</v>
      </c>
      <c r="H1165" s="248" t="s">
        <v>513</v>
      </c>
      <c r="I1165" s="248" t="s">
        <v>514</v>
      </c>
      <c r="J1165" s="248" t="s">
        <v>297</v>
      </c>
      <c r="K1165" s="249" t="s">
        <v>66</v>
      </c>
      <c r="L1165" s="257" t="s">
        <v>523</v>
      </c>
      <c r="M1165" s="249"/>
      <c r="N1165" s="249"/>
      <c r="O1165" s="249"/>
      <c r="P1165" s="249"/>
      <c r="Q1165" s="249"/>
      <c r="R1165" s="249"/>
      <c r="S1165" s="249"/>
      <c r="T1165" s="249"/>
      <c r="U1165" s="249"/>
      <c r="V1165" s="249"/>
    </row>
    <row r="1166">
      <c r="A1166" s="255" t="s">
        <v>2265</v>
      </c>
      <c r="B1166" s="248" t="s">
        <v>924</v>
      </c>
      <c r="C1166" s="248" t="s">
        <v>725</v>
      </c>
      <c r="D1166" s="248" t="s">
        <v>512</v>
      </c>
      <c r="E1166" s="248">
        <v>15512.0</v>
      </c>
      <c r="F1166" s="256">
        <v>45080.0</v>
      </c>
      <c r="G1166" s="248">
        <v>2023.0</v>
      </c>
      <c r="H1166" s="248" t="s">
        <v>513</v>
      </c>
      <c r="I1166" s="248" t="s">
        <v>514</v>
      </c>
      <c r="J1166" s="248" t="s">
        <v>297</v>
      </c>
      <c r="K1166" s="249" t="s">
        <v>66</v>
      </c>
      <c r="L1166" s="257" t="s">
        <v>523</v>
      </c>
      <c r="M1166" s="249"/>
      <c r="N1166" s="249"/>
      <c r="O1166" s="249"/>
      <c r="P1166" s="249"/>
      <c r="Q1166" s="249"/>
      <c r="R1166" s="249"/>
      <c r="S1166" s="249"/>
      <c r="T1166" s="249"/>
      <c r="U1166" s="249"/>
      <c r="V1166" s="249"/>
    </row>
    <row r="1167">
      <c r="A1167" s="255" t="s">
        <v>2266</v>
      </c>
      <c r="B1167" s="248" t="s">
        <v>573</v>
      </c>
      <c r="C1167" s="248" t="s">
        <v>574</v>
      </c>
      <c r="D1167" s="248" t="s">
        <v>512</v>
      </c>
      <c r="E1167" s="248">
        <v>10059.0</v>
      </c>
      <c r="F1167" s="256">
        <v>45079.0</v>
      </c>
      <c r="G1167" s="248">
        <v>2023.0</v>
      </c>
      <c r="H1167" s="248" t="s">
        <v>513</v>
      </c>
      <c r="I1167" s="248" t="s">
        <v>514</v>
      </c>
      <c r="J1167" s="248" t="s">
        <v>297</v>
      </c>
      <c r="K1167" s="249" t="s">
        <v>66</v>
      </c>
      <c r="L1167" s="257" t="s">
        <v>523</v>
      </c>
      <c r="M1167" s="249"/>
      <c r="N1167" s="249"/>
      <c r="O1167" s="249"/>
      <c r="P1167" s="249"/>
      <c r="Q1167" s="249"/>
      <c r="R1167" s="249"/>
      <c r="S1167" s="249"/>
      <c r="T1167" s="249"/>
      <c r="U1167" s="249"/>
      <c r="V1167" s="249"/>
    </row>
    <row r="1168">
      <c r="A1168" s="255" t="s">
        <v>2267</v>
      </c>
      <c r="B1168" s="248" t="s">
        <v>586</v>
      </c>
      <c r="C1168" s="248" t="s">
        <v>587</v>
      </c>
      <c r="D1168" s="248" t="s">
        <v>512</v>
      </c>
      <c r="E1168" s="248">
        <v>12405.0</v>
      </c>
      <c r="F1168" s="256">
        <v>45079.0</v>
      </c>
      <c r="G1168" s="248">
        <v>2023.0</v>
      </c>
      <c r="H1168" s="248" t="s">
        <v>513</v>
      </c>
      <c r="I1168" s="248" t="s">
        <v>514</v>
      </c>
      <c r="J1168" s="248" t="s">
        <v>297</v>
      </c>
      <c r="K1168" s="249" t="s">
        <v>66</v>
      </c>
      <c r="L1168" s="257" t="s">
        <v>523</v>
      </c>
      <c r="M1168" s="249"/>
      <c r="N1168" s="249"/>
      <c r="O1168" s="249"/>
      <c r="P1168" s="249"/>
      <c r="Q1168" s="249"/>
      <c r="R1168" s="249"/>
      <c r="S1168" s="249"/>
      <c r="T1168" s="249"/>
      <c r="U1168" s="249"/>
      <c r="V1168" s="249"/>
    </row>
    <row r="1169">
      <c r="A1169" s="255" t="s">
        <v>2268</v>
      </c>
      <c r="B1169" s="248" t="s">
        <v>748</v>
      </c>
      <c r="C1169" s="248" t="s">
        <v>694</v>
      </c>
      <c r="D1169" s="248" t="s">
        <v>512</v>
      </c>
      <c r="E1169" s="248">
        <v>7000.0</v>
      </c>
      <c r="F1169" s="256">
        <v>45078.0</v>
      </c>
      <c r="G1169" s="248">
        <v>2023.0</v>
      </c>
      <c r="H1169" s="248" t="s">
        <v>546</v>
      </c>
      <c r="I1169" s="248" t="s">
        <v>561</v>
      </c>
      <c r="J1169" s="248" t="s">
        <v>297</v>
      </c>
      <c r="K1169" s="249" t="s">
        <v>66</v>
      </c>
      <c r="L1169" s="257" t="s">
        <v>523</v>
      </c>
      <c r="M1169" s="249"/>
      <c r="N1169" s="249"/>
      <c r="O1169" s="249"/>
      <c r="P1169" s="249"/>
      <c r="Q1169" s="249"/>
      <c r="R1169" s="249"/>
      <c r="S1169" s="249"/>
      <c r="T1169" s="249"/>
      <c r="U1169" s="249"/>
      <c r="V1169" s="249"/>
    </row>
    <row r="1170">
      <c r="A1170" s="255" t="s">
        <v>2269</v>
      </c>
      <c r="B1170" s="248" t="s">
        <v>679</v>
      </c>
      <c r="C1170" s="248" t="s">
        <v>663</v>
      </c>
      <c r="D1170" s="248" t="s">
        <v>575</v>
      </c>
      <c r="E1170" s="248">
        <v>3763.0</v>
      </c>
      <c r="F1170" s="256">
        <v>45076.0</v>
      </c>
      <c r="G1170" s="248">
        <v>2023.0</v>
      </c>
      <c r="H1170" s="248" t="s">
        <v>513</v>
      </c>
      <c r="I1170" s="248" t="s">
        <v>514</v>
      </c>
      <c r="J1170" s="248" t="s">
        <v>297</v>
      </c>
      <c r="K1170" s="249" t="s">
        <v>66</v>
      </c>
      <c r="L1170" s="257" t="s">
        <v>523</v>
      </c>
      <c r="M1170" s="249"/>
      <c r="N1170" s="249"/>
      <c r="O1170" s="249"/>
      <c r="P1170" s="249"/>
      <c r="Q1170" s="249"/>
      <c r="R1170" s="249"/>
      <c r="S1170" s="249"/>
      <c r="T1170" s="249"/>
      <c r="U1170" s="249"/>
      <c r="V1170" s="249"/>
    </row>
    <row r="1171">
      <c r="A1171" s="255" t="s">
        <v>2270</v>
      </c>
      <c r="B1171" s="248" t="s">
        <v>688</v>
      </c>
      <c r="C1171" s="248" t="s">
        <v>683</v>
      </c>
      <c r="D1171" s="248" t="s">
        <v>520</v>
      </c>
      <c r="E1171" s="248">
        <v>319500.0</v>
      </c>
      <c r="F1171" s="256">
        <v>45072.0</v>
      </c>
      <c r="G1171" s="248">
        <v>2023.0</v>
      </c>
      <c r="H1171" s="248" t="s">
        <v>513</v>
      </c>
      <c r="I1171" s="248" t="s">
        <v>514</v>
      </c>
      <c r="J1171" s="248" t="s">
        <v>309</v>
      </c>
      <c r="K1171" s="249" t="s">
        <v>66</v>
      </c>
      <c r="L1171" s="257" t="s">
        <v>523</v>
      </c>
      <c r="M1171" s="249"/>
      <c r="N1171" s="249"/>
      <c r="O1171" s="249"/>
      <c r="P1171" s="249"/>
      <c r="Q1171" s="249"/>
      <c r="R1171" s="249"/>
      <c r="S1171" s="249"/>
      <c r="T1171" s="249"/>
      <c r="U1171" s="249"/>
      <c r="V1171" s="249"/>
    </row>
    <row r="1172">
      <c r="A1172" s="255" t="s">
        <v>2271</v>
      </c>
      <c r="B1172" s="248" t="s">
        <v>688</v>
      </c>
      <c r="C1172" s="248" t="s">
        <v>683</v>
      </c>
      <c r="D1172" s="248" t="s">
        <v>512</v>
      </c>
      <c r="E1172" s="248">
        <v>1784.0</v>
      </c>
      <c r="F1172" s="256">
        <v>45072.0</v>
      </c>
      <c r="G1172" s="248">
        <v>2023.0</v>
      </c>
      <c r="H1172" s="248" t="s">
        <v>513</v>
      </c>
      <c r="I1172" s="248" t="s">
        <v>514</v>
      </c>
      <c r="J1172" s="248" t="s">
        <v>297</v>
      </c>
      <c r="K1172" s="249" t="s">
        <v>66</v>
      </c>
      <c r="L1172" s="257" t="s">
        <v>523</v>
      </c>
      <c r="M1172" s="249"/>
      <c r="N1172" s="249"/>
      <c r="O1172" s="249"/>
      <c r="P1172" s="249"/>
      <c r="Q1172" s="249"/>
      <c r="R1172" s="249"/>
      <c r="S1172" s="249"/>
      <c r="T1172" s="249"/>
      <c r="U1172" s="249"/>
      <c r="V1172" s="249"/>
    </row>
    <row r="1173">
      <c r="A1173" s="255" t="s">
        <v>2272</v>
      </c>
      <c r="B1173" s="248" t="s">
        <v>530</v>
      </c>
      <c r="C1173" s="248" t="s">
        <v>531</v>
      </c>
      <c r="D1173" s="248" t="s">
        <v>512</v>
      </c>
      <c r="E1173" s="248">
        <v>6270.0</v>
      </c>
      <c r="F1173" s="256">
        <v>45071.0</v>
      </c>
      <c r="G1173" s="248">
        <v>2023.0</v>
      </c>
      <c r="H1173" s="248" t="s">
        <v>513</v>
      </c>
      <c r="I1173" s="248" t="s">
        <v>521</v>
      </c>
      <c r="J1173" s="248" t="s">
        <v>297</v>
      </c>
      <c r="K1173" s="249" t="s">
        <v>66</v>
      </c>
      <c r="L1173" s="257" t="s">
        <v>523</v>
      </c>
      <c r="M1173" s="249"/>
      <c r="N1173" s="249"/>
      <c r="O1173" s="249"/>
      <c r="P1173" s="249"/>
      <c r="Q1173" s="249"/>
      <c r="R1173" s="249"/>
      <c r="S1173" s="249"/>
      <c r="T1173" s="249"/>
      <c r="U1173" s="249"/>
      <c r="V1173" s="249"/>
    </row>
    <row r="1174">
      <c r="A1174" s="255" t="s">
        <v>2273</v>
      </c>
      <c r="B1174" s="248" t="s">
        <v>590</v>
      </c>
      <c r="C1174" s="248" t="s">
        <v>591</v>
      </c>
      <c r="D1174" s="248" t="s">
        <v>575</v>
      </c>
      <c r="E1174" s="248">
        <v>2662337.0</v>
      </c>
      <c r="F1174" s="256">
        <v>45070.0</v>
      </c>
      <c r="G1174" s="248">
        <v>2023.0</v>
      </c>
      <c r="H1174" s="248" t="s">
        <v>513</v>
      </c>
      <c r="I1174" s="248" t="s">
        <v>514</v>
      </c>
      <c r="J1174" s="248" t="s">
        <v>297</v>
      </c>
      <c r="K1174" s="249" t="s">
        <v>66</v>
      </c>
      <c r="L1174" s="257" t="s">
        <v>523</v>
      </c>
      <c r="M1174" s="249"/>
      <c r="N1174" s="249"/>
      <c r="O1174" s="249"/>
      <c r="P1174" s="249"/>
      <c r="Q1174" s="249"/>
      <c r="R1174" s="249"/>
      <c r="S1174" s="249"/>
      <c r="T1174" s="249"/>
      <c r="U1174" s="249"/>
      <c r="V1174" s="249"/>
    </row>
    <row r="1175">
      <c r="A1175" s="255" t="s">
        <v>2274</v>
      </c>
      <c r="B1175" s="248" t="s">
        <v>705</v>
      </c>
      <c r="C1175" s="248" t="s">
        <v>706</v>
      </c>
      <c r="D1175" s="248" t="s">
        <v>520</v>
      </c>
      <c r="E1175" s="248">
        <v>14453.0</v>
      </c>
      <c r="F1175" s="256">
        <v>45070.0</v>
      </c>
      <c r="G1175" s="248">
        <v>2023.0</v>
      </c>
      <c r="H1175" s="248" t="s">
        <v>513</v>
      </c>
      <c r="I1175" s="248" t="s">
        <v>514</v>
      </c>
      <c r="J1175" s="248" t="s">
        <v>309</v>
      </c>
      <c r="K1175" s="249" t="s">
        <v>66</v>
      </c>
      <c r="L1175" s="257" t="s">
        <v>523</v>
      </c>
      <c r="M1175" s="249"/>
      <c r="N1175" s="249"/>
      <c r="O1175" s="249"/>
      <c r="P1175" s="249"/>
      <c r="Q1175" s="249"/>
      <c r="R1175" s="249"/>
      <c r="S1175" s="249"/>
      <c r="T1175" s="249"/>
      <c r="U1175" s="249"/>
      <c r="V1175" s="249"/>
    </row>
    <row r="1176">
      <c r="A1176" s="255" t="s">
        <v>2275</v>
      </c>
      <c r="B1176" s="248" t="s">
        <v>510</v>
      </c>
      <c r="C1176" s="248" t="s">
        <v>511</v>
      </c>
      <c r="D1176" s="248" t="s">
        <v>512</v>
      </c>
      <c r="E1176" s="248">
        <v>19032.0</v>
      </c>
      <c r="F1176" s="256">
        <v>45065.0</v>
      </c>
      <c r="G1176" s="248">
        <v>2023.0</v>
      </c>
      <c r="H1176" s="248" t="s">
        <v>513</v>
      </c>
      <c r="I1176" s="248" t="s">
        <v>514</v>
      </c>
      <c r="J1176" s="248" t="s">
        <v>297</v>
      </c>
      <c r="K1176" s="249" t="s">
        <v>66</v>
      </c>
      <c r="L1176" s="257" t="s">
        <v>523</v>
      </c>
      <c r="M1176" s="249"/>
      <c r="N1176" s="249"/>
      <c r="O1176" s="249"/>
      <c r="P1176" s="249"/>
      <c r="Q1176" s="249"/>
      <c r="R1176" s="249"/>
      <c r="S1176" s="249"/>
      <c r="T1176" s="249"/>
      <c r="U1176" s="249"/>
      <c r="V1176" s="249"/>
    </row>
    <row r="1177">
      <c r="A1177" s="255" t="s">
        <v>2276</v>
      </c>
      <c r="B1177" s="248" t="s">
        <v>688</v>
      </c>
      <c r="C1177" s="248" t="s">
        <v>683</v>
      </c>
      <c r="D1177" s="248" t="s">
        <v>512</v>
      </c>
      <c r="E1177" s="248">
        <v>248359.0</v>
      </c>
      <c r="F1177" s="256">
        <v>45061.0</v>
      </c>
      <c r="G1177" s="248">
        <v>2023.0</v>
      </c>
      <c r="H1177" s="248" t="s">
        <v>513</v>
      </c>
      <c r="I1177" s="248" t="s">
        <v>514</v>
      </c>
      <c r="J1177" s="248" t="s">
        <v>297</v>
      </c>
      <c r="K1177" s="249" t="s">
        <v>66</v>
      </c>
      <c r="L1177" s="257" t="s">
        <v>523</v>
      </c>
      <c r="M1177" s="249"/>
      <c r="N1177" s="249"/>
      <c r="O1177" s="249"/>
      <c r="P1177" s="249"/>
      <c r="Q1177" s="249"/>
      <c r="R1177" s="249"/>
      <c r="S1177" s="249"/>
      <c r="T1177" s="249"/>
      <c r="U1177" s="249"/>
      <c r="V1177" s="249"/>
    </row>
    <row r="1178">
      <c r="A1178" s="255" t="s">
        <v>2277</v>
      </c>
      <c r="B1178" s="248" t="s">
        <v>586</v>
      </c>
      <c r="C1178" s="248" t="s">
        <v>587</v>
      </c>
      <c r="D1178" s="248" t="s">
        <v>575</v>
      </c>
      <c r="E1178" s="248">
        <v>50839.0</v>
      </c>
      <c r="F1178" s="256">
        <v>45058.0</v>
      </c>
      <c r="G1178" s="248">
        <v>2023.0</v>
      </c>
      <c r="H1178" s="248" t="s">
        <v>513</v>
      </c>
      <c r="I1178" s="248" t="s">
        <v>514</v>
      </c>
      <c r="J1178" s="248" t="s">
        <v>297</v>
      </c>
      <c r="K1178" s="249" t="s">
        <v>66</v>
      </c>
      <c r="L1178" s="257" t="s">
        <v>523</v>
      </c>
      <c r="M1178" s="249"/>
      <c r="N1178" s="249"/>
      <c r="O1178" s="249"/>
      <c r="P1178" s="249"/>
      <c r="Q1178" s="249"/>
      <c r="R1178" s="249"/>
      <c r="S1178" s="249"/>
      <c r="T1178" s="249"/>
      <c r="U1178" s="249"/>
      <c r="V1178" s="249"/>
    </row>
    <row r="1179">
      <c r="A1179" s="255" t="s">
        <v>2278</v>
      </c>
      <c r="B1179" s="248" t="s">
        <v>611</v>
      </c>
      <c r="C1179" s="248" t="s">
        <v>612</v>
      </c>
      <c r="D1179" s="248" t="s">
        <v>520</v>
      </c>
      <c r="E1179" s="248">
        <v>5242.0</v>
      </c>
      <c r="F1179" s="256">
        <v>45056.0</v>
      </c>
      <c r="G1179" s="248">
        <v>2023.0</v>
      </c>
      <c r="H1179" s="248" t="s">
        <v>513</v>
      </c>
      <c r="I1179" s="248" t="s">
        <v>514</v>
      </c>
      <c r="J1179" s="248" t="s">
        <v>309</v>
      </c>
      <c r="K1179" s="249" t="s">
        <v>66</v>
      </c>
      <c r="L1179" s="257" t="s">
        <v>523</v>
      </c>
      <c r="M1179" s="249"/>
      <c r="N1179" s="249"/>
      <c r="O1179" s="249"/>
      <c r="P1179" s="249"/>
      <c r="Q1179" s="249"/>
      <c r="R1179" s="249"/>
      <c r="S1179" s="249"/>
      <c r="T1179" s="249"/>
      <c r="U1179" s="249"/>
      <c r="V1179" s="249"/>
    </row>
    <row r="1180">
      <c r="A1180" s="255" t="s">
        <v>2279</v>
      </c>
      <c r="B1180" s="248" t="s">
        <v>553</v>
      </c>
      <c r="C1180" s="248" t="s">
        <v>554</v>
      </c>
      <c r="D1180" s="248" t="s">
        <v>512</v>
      </c>
      <c r="E1180" s="248">
        <v>5259.0</v>
      </c>
      <c r="F1180" s="256">
        <v>45049.0</v>
      </c>
      <c r="G1180" s="248">
        <v>2023.0</v>
      </c>
      <c r="H1180" s="248" t="s">
        <v>513</v>
      </c>
      <c r="I1180" s="248" t="s">
        <v>514</v>
      </c>
      <c r="J1180" s="248" t="s">
        <v>297</v>
      </c>
      <c r="K1180" s="249" t="s">
        <v>66</v>
      </c>
      <c r="L1180" s="257" t="s">
        <v>523</v>
      </c>
      <c r="M1180" s="249"/>
      <c r="N1180" s="249"/>
      <c r="O1180" s="249"/>
      <c r="P1180" s="249"/>
      <c r="Q1180" s="249"/>
      <c r="R1180" s="249"/>
      <c r="S1180" s="249"/>
      <c r="T1180" s="249"/>
      <c r="U1180" s="249"/>
      <c r="V1180" s="249"/>
    </row>
    <row r="1181">
      <c r="A1181" s="255" t="s">
        <v>2280</v>
      </c>
      <c r="B1181" s="248" t="s">
        <v>538</v>
      </c>
      <c r="C1181" s="248" t="s">
        <v>539</v>
      </c>
      <c r="D1181" s="248" t="s">
        <v>512</v>
      </c>
      <c r="E1181" s="248">
        <v>10256.0</v>
      </c>
      <c r="F1181" s="256">
        <v>45048.0</v>
      </c>
      <c r="G1181" s="248">
        <v>2023.0</v>
      </c>
      <c r="H1181" s="248" t="s">
        <v>546</v>
      </c>
      <c r="I1181" s="248" t="s">
        <v>547</v>
      </c>
      <c r="J1181" s="248" t="s">
        <v>297</v>
      </c>
      <c r="K1181" s="249" t="s">
        <v>66</v>
      </c>
      <c r="L1181" s="257" t="s">
        <v>523</v>
      </c>
      <c r="M1181" s="249"/>
      <c r="N1181" s="249"/>
      <c r="O1181" s="249"/>
      <c r="P1181" s="249"/>
      <c r="Q1181" s="249"/>
      <c r="R1181" s="249"/>
      <c r="S1181" s="249"/>
      <c r="T1181" s="249"/>
      <c r="U1181" s="249"/>
      <c r="V1181" s="249"/>
    </row>
    <row r="1182">
      <c r="A1182" s="255" t="s">
        <v>2281</v>
      </c>
      <c r="B1182" s="248" t="s">
        <v>641</v>
      </c>
      <c r="C1182" s="248" t="s">
        <v>633</v>
      </c>
      <c r="D1182" s="248" t="s">
        <v>512</v>
      </c>
      <c r="E1182" s="248">
        <v>1042.0</v>
      </c>
      <c r="F1182" s="256">
        <v>45044.0</v>
      </c>
      <c r="G1182" s="248">
        <v>2023.0</v>
      </c>
      <c r="H1182" s="248" t="s">
        <v>546</v>
      </c>
      <c r="I1182" s="248" t="s">
        <v>514</v>
      </c>
      <c r="J1182" s="248" t="s">
        <v>297</v>
      </c>
      <c r="K1182" s="249" t="s">
        <v>66</v>
      </c>
      <c r="L1182" s="257" t="s">
        <v>523</v>
      </c>
      <c r="M1182" s="249"/>
      <c r="N1182" s="249"/>
      <c r="O1182" s="249"/>
      <c r="P1182" s="249"/>
      <c r="Q1182" s="249"/>
      <c r="R1182" s="249"/>
      <c r="S1182" s="249"/>
      <c r="T1182" s="249"/>
      <c r="U1182" s="249"/>
      <c r="V1182" s="249"/>
    </row>
    <row r="1183">
      <c r="A1183" s="255" t="s">
        <v>2282</v>
      </c>
      <c r="B1183" s="248" t="s">
        <v>542</v>
      </c>
      <c r="C1183" s="248" t="s">
        <v>543</v>
      </c>
      <c r="D1183" s="248" t="s">
        <v>520</v>
      </c>
      <c r="E1183" s="248">
        <v>4277.0</v>
      </c>
      <c r="F1183" s="256">
        <v>45041.0</v>
      </c>
      <c r="G1183" s="248">
        <v>2023.0</v>
      </c>
      <c r="H1183" s="248" t="s">
        <v>546</v>
      </c>
      <c r="I1183" s="248" t="s">
        <v>514</v>
      </c>
      <c r="J1183" s="248" t="s">
        <v>309</v>
      </c>
      <c r="K1183" s="249" t="s">
        <v>66</v>
      </c>
      <c r="L1183" s="257" t="s">
        <v>523</v>
      </c>
      <c r="M1183" s="249"/>
      <c r="N1183" s="249"/>
      <c r="O1183" s="249"/>
      <c r="P1183" s="249"/>
      <c r="Q1183" s="249"/>
      <c r="R1183" s="249"/>
      <c r="S1183" s="249"/>
      <c r="T1183" s="249"/>
      <c r="U1183" s="249"/>
      <c r="V1183" s="249"/>
    </row>
    <row r="1184">
      <c r="A1184" s="255" t="s">
        <v>2131</v>
      </c>
      <c r="B1184" s="248" t="s">
        <v>586</v>
      </c>
      <c r="C1184" s="248" t="s">
        <v>587</v>
      </c>
      <c r="D1184" s="248" t="s">
        <v>512</v>
      </c>
      <c r="E1184" s="248">
        <v>17000.0</v>
      </c>
      <c r="F1184" s="256">
        <v>45041.0</v>
      </c>
      <c r="G1184" s="248">
        <v>2023.0</v>
      </c>
      <c r="H1184" s="248" t="s">
        <v>513</v>
      </c>
      <c r="I1184" s="248" t="s">
        <v>521</v>
      </c>
      <c r="J1184" s="248" t="s">
        <v>297</v>
      </c>
      <c r="K1184" s="249" t="s">
        <v>66</v>
      </c>
      <c r="L1184" s="257" t="s">
        <v>523</v>
      </c>
      <c r="M1184" s="249"/>
      <c r="N1184" s="249"/>
      <c r="O1184" s="249"/>
      <c r="P1184" s="249"/>
      <c r="Q1184" s="249"/>
      <c r="R1184" s="249"/>
      <c r="S1184" s="249"/>
      <c r="T1184" s="249"/>
      <c r="U1184" s="249"/>
      <c r="V1184" s="249"/>
    </row>
    <row r="1185">
      <c r="A1185" s="255" t="s">
        <v>2283</v>
      </c>
      <c r="B1185" s="248" t="s">
        <v>688</v>
      </c>
      <c r="C1185" s="248" t="s">
        <v>683</v>
      </c>
      <c r="D1185" s="248" t="s">
        <v>575</v>
      </c>
      <c r="E1185" s="248">
        <v>1270.0</v>
      </c>
      <c r="F1185" s="256">
        <v>45040.0</v>
      </c>
      <c r="G1185" s="248">
        <v>2023.0</v>
      </c>
      <c r="H1185" s="248" t="s">
        <v>513</v>
      </c>
      <c r="I1185" s="248" t="s">
        <v>514</v>
      </c>
      <c r="J1185" s="248" t="s">
        <v>297</v>
      </c>
      <c r="K1185" s="249" t="s">
        <v>66</v>
      </c>
      <c r="L1185" s="257" t="s">
        <v>523</v>
      </c>
      <c r="M1185" s="249"/>
      <c r="N1185" s="249"/>
      <c r="O1185" s="249"/>
      <c r="P1185" s="249"/>
      <c r="Q1185" s="249"/>
      <c r="R1185" s="249"/>
      <c r="S1185" s="249"/>
      <c r="T1185" s="249"/>
      <c r="U1185" s="249"/>
      <c r="V1185" s="249"/>
    </row>
    <row r="1186">
      <c r="A1186" s="255" t="s">
        <v>2284</v>
      </c>
      <c r="B1186" s="248" t="s">
        <v>607</v>
      </c>
      <c r="C1186" s="248" t="s">
        <v>608</v>
      </c>
      <c r="D1186" s="248" t="s">
        <v>512</v>
      </c>
      <c r="E1186" s="248">
        <v>748678.0</v>
      </c>
      <c r="F1186" s="256">
        <v>45038.0</v>
      </c>
      <c r="G1186" s="248">
        <v>2023.0</v>
      </c>
      <c r="H1186" s="248" t="s">
        <v>513</v>
      </c>
      <c r="I1186" s="248" t="s">
        <v>521</v>
      </c>
      <c r="J1186" s="248" t="s">
        <v>297</v>
      </c>
      <c r="K1186" s="249" t="s">
        <v>66</v>
      </c>
      <c r="L1186" s="257" t="s">
        <v>523</v>
      </c>
      <c r="M1186" s="249"/>
      <c r="N1186" s="249"/>
      <c r="O1186" s="249"/>
      <c r="P1186" s="249"/>
      <c r="Q1186" s="249"/>
      <c r="R1186" s="249"/>
      <c r="S1186" s="249"/>
      <c r="T1186" s="249"/>
      <c r="U1186" s="249"/>
      <c r="V1186" s="249"/>
    </row>
    <row r="1187">
      <c r="A1187" s="255" t="s">
        <v>2285</v>
      </c>
      <c r="B1187" s="248" t="s">
        <v>748</v>
      </c>
      <c r="C1187" s="248" t="s">
        <v>694</v>
      </c>
      <c r="D1187" s="248" t="s">
        <v>512</v>
      </c>
      <c r="E1187" s="248">
        <v>15045.0</v>
      </c>
      <c r="F1187" s="256">
        <v>45037.0</v>
      </c>
      <c r="G1187" s="248">
        <v>2023.0</v>
      </c>
      <c r="H1187" s="248" t="s">
        <v>513</v>
      </c>
      <c r="I1187" s="248" t="s">
        <v>514</v>
      </c>
      <c r="J1187" s="248" t="s">
        <v>297</v>
      </c>
      <c r="K1187" s="249" t="s">
        <v>66</v>
      </c>
      <c r="L1187" s="257" t="s">
        <v>523</v>
      </c>
      <c r="M1187" s="249"/>
      <c r="N1187" s="249"/>
      <c r="O1187" s="249"/>
      <c r="P1187" s="249"/>
      <c r="Q1187" s="249"/>
      <c r="R1187" s="249"/>
      <c r="S1187" s="249"/>
      <c r="T1187" s="249"/>
      <c r="U1187" s="249"/>
      <c r="V1187" s="249"/>
    </row>
    <row r="1188">
      <c r="A1188" s="255" t="s">
        <v>2286</v>
      </c>
      <c r="B1188" s="248"/>
      <c r="C1188" s="248" t="e">
        <v>#N/A</v>
      </c>
      <c r="D1188" s="248" t="s">
        <v>512</v>
      </c>
      <c r="E1188" s="248">
        <v>10000.0</v>
      </c>
      <c r="F1188" s="256">
        <v>45035.0</v>
      </c>
      <c r="G1188" s="248">
        <v>2023.0</v>
      </c>
      <c r="H1188" s="248" t="s">
        <v>513</v>
      </c>
      <c r="I1188" s="248" t="s">
        <v>514</v>
      </c>
      <c r="J1188" s="248" t="s">
        <v>297</v>
      </c>
      <c r="K1188" s="249" t="s">
        <v>66</v>
      </c>
      <c r="L1188" s="257" t="s">
        <v>523</v>
      </c>
      <c r="M1188" s="249"/>
      <c r="N1188" s="249"/>
      <c r="O1188" s="249"/>
      <c r="P1188" s="249"/>
      <c r="Q1188" s="249"/>
      <c r="R1188" s="249"/>
      <c r="S1188" s="249"/>
      <c r="T1188" s="249"/>
      <c r="U1188" s="249"/>
      <c r="V1188" s="249"/>
    </row>
    <row r="1189">
      <c r="A1189" s="255" t="s">
        <v>2287</v>
      </c>
      <c r="B1189" s="248" t="s">
        <v>705</v>
      </c>
      <c r="C1189" s="248" t="s">
        <v>706</v>
      </c>
      <c r="D1189" s="248" t="s">
        <v>512</v>
      </c>
      <c r="E1189" s="248">
        <v>6737.0</v>
      </c>
      <c r="F1189" s="256">
        <v>45035.0</v>
      </c>
      <c r="G1189" s="248">
        <v>2023.0</v>
      </c>
      <c r="H1189" s="248" t="s">
        <v>513</v>
      </c>
      <c r="I1189" s="248" t="s">
        <v>514</v>
      </c>
      <c r="J1189" s="248" t="s">
        <v>297</v>
      </c>
      <c r="K1189" s="249" t="s">
        <v>66</v>
      </c>
      <c r="L1189" s="257" t="s">
        <v>523</v>
      </c>
      <c r="M1189" s="249"/>
      <c r="N1189" s="249"/>
      <c r="O1189" s="249"/>
      <c r="P1189" s="249"/>
      <c r="Q1189" s="249"/>
      <c r="R1189" s="249"/>
      <c r="S1189" s="249"/>
      <c r="T1189" s="249"/>
      <c r="U1189" s="249"/>
      <c r="V1189" s="249"/>
    </row>
    <row r="1190">
      <c r="A1190" s="255" t="s">
        <v>2288</v>
      </c>
      <c r="B1190" s="248" t="s">
        <v>530</v>
      </c>
      <c r="C1190" s="248" t="s">
        <v>531</v>
      </c>
      <c r="D1190" s="248" t="s">
        <v>512</v>
      </c>
      <c r="E1190" s="248">
        <v>58374.0</v>
      </c>
      <c r="F1190" s="256">
        <v>45030.0</v>
      </c>
      <c r="G1190" s="248">
        <v>2023.0</v>
      </c>
      <c r="H1190" s="248" t="s">
        <v>546</v>
      </c>
      <c r="I1190" s="248" t="s">
        <v>514</v>
      </c>
      <c r="J1190" s="248" t="s">
        <v>297</v>
      </c>
      <c r="K1190" s="249" t="s">
        <v>66</v>
      </c>
      <c r="L1190" s="257" t="s">
        <v>523</v>
      </c>
      <c r="M1190" s="249"/>
      <c r="N1190" s="249"/>
      <c r="O1190" s="249"/>
      <c r="P1190" s="249"/>
      <c r="Q1190" s="249"/>
      <c r="R1190" s="249"/>
      <c r="S1190" s="249"/>
      <c r="T1190" s="249"/>
      <c r="U1190" s="249"/>
      <c r="V1190" s="249"/>
    </row>
    <row r="1191">
      <c r="A1191" s="255" t="s">
        <v>2289</v>
      </c>
      <c r="B1191" s="248" t="s">
        <v>705</v>
      </c>
      <c r="C1191" s="248" t="s">
        <v>706</v>
      </c>
      <c r="D1191" s="248" t="s">
        <v>512</v>
      </c>
      <c r="E1191" s="248">
        <v>3689.0</v>
      </c>
      <c r="F1191" s="256">
        <v>45030.0</v>
      </c>
      <c r="G1191" s="248">
        <v>2023.0</v>
      </c>
      <c r="H1191" s="248" t="s">
        <v>513</v>
      </c>
      <c r="I1191" s="248" t="s">
        <v>514</v>
      </c>
      <c r="J1191" s="248" t="s">
        <v>309</v>
      </c>
      <c r="K1191" s="249" t="s">
        <v>66</v>
      </c>
      <c r="L1191" s="257" t="s">
        <v>523</v>
      </c>
      <c r="M1191" s="249"/>
      <c r="N1191" s="249"/>
      <c r="O1191" s="249"/>
      <c r="P1191" s="249"/>
      <c r="Q1191" s="249"/>
      <c r="R1191" s="249"/>
      <c r="S1191" s="249"/>
      <c r="T1191" s="249"/>
      <c r="U1191" s="249"/>
      <c r="V1191" s="249"/>
    </row>
    <row r="1192">
      <c r="A1192" s="255" t="s">
        <v>2290</v>
      </c>
      <c r="B1192" s="248" t="s">
        <v>542</v>
      </c>
      <c r="C1192" s="248" t="s">
        <v>543</v>
      </c>
      <c r="D1192" s="248" t="s">
        <v>520</v>
      </c>
      <c r="E1192" s="248">
        <v>3099502.0</v>
      </c>
      <c r="F1192" s="256">
        <v>45029.0</v>
      </c>
      <c r="G1192" s="248">
        <v>2023.0</v>
      </c>
      <c r="H1192" s="248" t="s">
        <v>513</v>
      </c>
      <c r="I1192" s="248" t="s">
        <v>514</v>
      </c>
      <c r="J1192" s="248" t="s">
        <v>309</v>
      </c>
      <c r="K1192" s="249" t="s">
        <v>66</v>
      </c>
      <c r="L1192" s="257" t="s">
        <v>523</v>
      </c>
      <c r="M1192" s="249"/>
      <c r="N1192" s="249"/>
      <c r="O1192" s="249"/>
      <c r="P1192" s="249"/>
      <c r="Q1192" s="249"/>
      <c r="R1192" s="249"/>
      <c r="S1192" s="249"/>
      <c r="T1192" s="249"/>
      <c r="U1192" s="249"/>
      <c r="V1192" s="249"/>
    </row>
    <row r="1193">
      <c r="A1193" s="255" t="s">
        <v>2291</v>
      </c>
      <c r="B1193" s="248" t="s">
        <v>530</v>
      </c>
      <c r="C1193" s="248" t="s">
        <v>531</v>
      </c>
      <c r="D1193" s="248" t="s">
        <v>512</v>
      </c>
      <c r="E1193" s="248">
        <v>15316.0</v>
      </c>
      <c r="F1193" s="256">
        <v>45023.0</v>
      </c>
      <c r="G1193" s="248">
        <v>2023.0</v>
      </c>
      <c r="H1193" s="248" t="s">
        <v>513</v>
      </c>
      <c r="I1193" s="248" t="s">
        <v>521</v>
      </c>
      <c r="J1193" s="248" t="s">
        <v>297</v>
      </c>
      <c r="K1193" s="249" t="s">
        <v>66</v>
      </c>
      <c r="L1193" s="257" t="s">
        <v>523</v>
      </c>
      <c r="M1193" s="249"/>
      <c r="N1193" s="249"/>
      <c r="O1193" s="249"/>
      <c r="P1193" s="249"/>
      <c r="Q1193" s="249"/>
      <c r="R1193" s="249"/>
      <c r="S1193" s="249"/>
      <c r="T1193" s="249"/>
      <c r="U1193" s="249"/>
      <c r="V1193" s="249"/>
    </row>
    <row r="1194">
      <c r="A1194" s="255" t="s">
        <v>2292</v>
      </c>
      <c r="B1194" s="248" t="s">
        <v>688</v>
      </c>
      <c r="C1194" s="248" t="s">
        <v>683</v>
      </c>
      <c r="D1194" s="248" t="s">
        <v>575</v>
      </c>
      <c r="E1194" s="248">
        <v>13240.0</v>
      </c>
      <c r="F1194" s="256">
        <v>45021.0</v>
      </c>
      <c r="G1194" s="248">
        <v>2023.0</v>
      </c>
      <c r="H1194" s="248" t="s">
        <v>513</v>
      </c>
      <c r="I1194" s="248" t="s">
        <v>521</v>
      </c>
      <c r="J1194" s="248" t="s">
        <v>297</v>
      </c>
      <c r="K1194" s="249" t="s">
        <v>66</v>
      </c>
      <c r="L1194" s="257" t="s">
        <v>523</v>
      </c>
      <c r="M1194" s="249"/>
      <c r="N1194" s="249"/>
      <c r="O1194" s="249"/>
      <c r="P1194" s="249"/>
      <c r="Q1194" s="249"/>
      <c r="R1194" s="249"/>
      <c r="S1194" s="249"/>
      <c r="T1194" s="249"/>
      <c r="U1194" s="249"/>
      <c r="V1194" s="249"/>
    </row>
    <row r="1195">
      <c r="A1195" s="255" t="s">
        <v>2293</v>
      </c>
      <c r="B1195" s="248" t="s">
        <v>850</v>
      </c>
      <c r="C1195" s="248" t="s">
        <v>723</v>
      </c>
      <c r="D1195" s="248" t="s">
        <v>512</v>
      </c>
      <c r="E1195" s="248">
        <v>15996.0</v>
      </c>
      <c r="F1195" s="256">
        <v>45017.0</v>
      </c>
      <c r="G1195" s="248">
        <v>2023.0</v>
      </c>
      <c r="H1195" s="248" t="s">
        <v>513</v>
      </c>
      <c r="I1195" s="248" t="s">
        <v>514</v>
      </c>
      <c r="J1195" s="248" t="s">
        <v>297</v>
      </c>
      <c r="K1195" s="249" t="s">
        <v>66</v>
      </c>
      <c r="L1195" s="257" t="s">
        <v>523</v>
      </c>
      <c r="M1195" s="249"/>
      <c r="N1195" s="249"/>
      <c r="O1195" s="249"/>
      <c r="P1195" s="249"/>
      <c r="Q1195" s="249"/>
      <c r="R1195" s="249"/>
      <c r="S1195" s="249"/>
      <c r="T1195" s="249"/>
      <c r="U1195" s="249"/>
      <c r="V1195" s="249"/>
    </row>
    <row r="1196">
      <c r="A1196" s="255" t="s">
        <v>2294</v>
      </c>
      <c r="B1196" s="248" t="s">
        <v>573</v>
      </c>
      <c r="C1196" s="248" t="s">
        <v>574</v>
      </c>
      <c r="D1196" s="248" t="s">
        <v>520</v>
      </c>
      <c r="E1196" s="248">
        <v>108584.0</v>
      </c>
      <c r="F1196" s="256">
        <v>45016.0</v>
      </c>
      <c r="G1196" s="248">
        <v>2023.0</v>
      </c>
      <c r="H1196" s="248" t="s">
        <v>546</v>
      </c>
      <c r="I1196" s="248" t="s">
        <v>514</v>
      </c>
      <c r="J1196" s="248" t="s">
        <v>309</v>
      </c>
      <c r="K1196" s="249" t="s">
        <v>66</v>
      </c>
      <c r="L1196" s="257" t="s">
        <v>523</v>
      </c>
      <c r="M1196" s="249"/>
      <c r="N1196" s="249"/>
      <c r="O1196" s="249"/>
      <c r="P1196" s="249"/>
      <c r="Q1196" s="249"/>
      <c r="R1196" s="249"/>
      <c r="S1196" s="249"/>
      <c r="T1196" s="249"/>
      <c r="U1196" s="249"/>
      <c r="V1196" s="249"/>
    </row>
    <row r="1197">
      <c r="A1197" s="255" t="s">
        <v>2295</v>
      </c>
      <c r="B1197" s="248" t="s">
        <v>578</v>
      </c>
      <c r="C1197" s="248" t="s">
        <v>579</v>
      </c>
      <c r="D1197" s="248" t="s">
        <v>520</v>
      </c>
      <c r="E1197" s="248">
        <v>39674.0</v>
      </c>
      <c r="F1197" s="256">
        <v>45013.0</v>
      </c>
      <c r="G1197" s="248">
        <v>2023.0</v>
      </c>
      <c r="H1197" s="248" t="s">
        <v>513</v>
      </c>
      <c r="I1197" s="248" t="s">
        <v>521</v>
      </c>
      <c r="J1197" s="248" t="s">
        <v>309</v>
      </c>
      <c r="K1197" s="249" t="s">
        <v>66</v>
      </c>
      <c r="L1197" s="257" t="s">
        <v>523</v>
      </c>
      <c r="M1197" s="249"/>
      <c r="N1197" s="249"/>
      <c r="O1197" s="249"/>
      <c r="P1197" s="249"/>
      <c r="Q1197" s="249"/>
      <c r="R1197" s="249"/>
      <c r="S1197" s="249"/>
      <c r="T1197" s="249"/>
      <c r="U1197" s="249"/>
      <c r="V1197" s="249"/>
    </row>
    <row r="1198">
      <c r="A1198" s="255" t="s">
        <v>2296</v>
      </c>
      <c r="B1198" s="248" t="s">
        <v>688</v>
      </c>
      <c r="C1198" s="248" t="s">
        <v>683</v>
      </c>
      <c r="D1198" s="248" t="s">
        <v>520</v>
      </c>
      <c r="E1198" s="248">
        <v>8571.0</v>
      </c>
      <c r="F1198" s="256">
        <v>45012.0</v>
      </c>
      <c r="G1198" s="248">
        <v>2023.0</v>
      </c>
      <c r="H1198" s="248" t="s">
        <v>513</v>
      </c>
      <c r="I1198" s="248" t="s">
        <v>514</v>
      </c>
      <c r="J1198" s="248" t="s">
        <v>309</v>
      </c>
      <c r="K1198" s="249" t="s">
        <v>66</v>
      </c>
      <c r="L1198" s="257" t="s">
        <v>523</v>
      </c>
      <c r="M1198" s="249"/>
      <c r="N1198" s="249"/>
      <c r="O1198" s="249"/>
      <c r="P1198" s="249"/>
      <c r="Q1198" s="249"/>
      <c r="R1198" s="249"/>
      <c r="S1198" s="249"/>
      <c r="T1198" s="249"/>
      <c r="U1198" s="249"/>
      <c r="V1198" s="249"/>
    </row>
    <row r="1199">
      <c r="A1199" s="255" t="s">
        <v>2297</v>
      </c>
      <c r="B1199" s="248" t="s">
        <v>810</v>
      </c>
      <c r="C1199" s="248" t="s">
        <v>655</v>
      </c>
      <c r="D1199" s="248" t="s">
        <v>512</v>
      </c>
      <c r="E1199" s="248">
        <v>132817.0</v>
      </c>
      <c r="F1199" s="256">
        <v>45009.0</v>
      </c>
      <c r="G1199" s="248">
        <v>2023.0</v>
      </c>
      <c r="H1199" s="248" t="s">
        <v>513</v>
      </c>
      <c r="I1199" s="248" t="s">
        <v>514</v>
      </c>
      <c r="J1199" s="248" t="s">
        <v>297</v>
      </c>
      <c r="K1199" s="249" t="s">
        <v>66</v>
      </c>
      <c r="L1199" s="257" t="s">
        <v>523</v>
      </c>
      <c r="M1199" s="249"/>
      <c r="N1199" s="249"/>
      <c r="O1199" s="249"/>
      <c r="P1199" s="249"/>
      <c r="Q1199" s="249"/>
      <c r="R1199" s="249"/>
      <c r="S1199" s="249"/>
      <c r="T1199" s="249"/>
      <c r="U1199" s="249"/>
      <c r="V1199" s="249"/>
    </row>
    <row r="1200">
      <c r="A1200" s="255" t="s">
        <v>2298</v>
      </c>
      <c r="B1200" s="248" t="s">
        <v>573</v>
      </c>
      <c r="C1200" s="248" t="s">
        <v>574</v>
      </c>
      <c r="D1200" s="248" t="s">
        <v>512</v>
      </c>
      <c r="E1200" s="248">
        <v>54396.0</v>
      </c>
      <c r="F1200" s="256">
        <v>45005.0</v>
      </c>
      <c r="G1200" s="248">
        <v>2023.0</v>
      </c>
      <c r="H1200" s="248" t="s">
        <v>546</v>
      </c>
      <c r="I1200" s="248" t="s">
        <v>514</v>
      </c>
      <c r="J1200" s="248" t="s">
        <v>297</v>
      </c>
      <c r="K1200" s="249" t="s">
        <v>66</v>
      </c>
      <c r="L1200" s="257" t="s">
        <v>523</v>
      </c>
      <c r="M1200" s="249"/>
      <c r="N1200" s="249"/>
      <c r="O1200" s="249"/>
      <c r="P1200" s="249"/>
      <c r="Q1200" s="249"/>
      <c r="R1200" s="249"/>
      <c r="S1200" s="249"/>
      <c r="T1200" s="249"/>
      <c r="U1200" s="249"/>
      <c r="V1200" s="249"/>
    </row>
    <row r="1201">
      <c r="A1201" s="255" t="s">
        <v>2089</v>
      </c>
      <c r="B1201" s="248" t="s">
        <v>530</v>
      </c>
      <c r="C1201" s="248" t="s">
        <v>531</v>
      </c>
      <c r="D1201" s="248" t="s">
        <v>575</v>
      </c>
      <c r="E1201" s="248">
        <v>11894.0</v>
      </c>
      <c r="F1201" s="256">
        <v>45002.0</v>
      </c>
      <c r="G1201" s="248">
        <v>2023.0</v>
      </c>
      <c r="H1201" s="248" t="s">
        <v>513</v>
      </c>
      <c r="I1201" s="248" t="s">
        <v>521</v>
      </c>
      <c r="J1201" s="248" t="s">
        <v>297</v>
      </c>
      <c r="K1201" s="249" t="s">
        <v>66</v>
      </c>
      <c r="L1201" s="257" t="s">
        <v>523</v>
      </c>
      <c r="M1201" s="249"/>
      <c r="N1201" s="249"/>
      <c r="O1201" s="249"/>
      <c r="P1201" s="249"/>
      <c r="Q1201" s="249"/>
      <c r="R1201" s="249"/>
      <c r="S1201" s="249"/>
      <c r="T1201" s="249"/>
      <c r="U1201" s="249"/>
      <c r="V1201" s="249"/>
    </row>
    <row r="1202">
      <c r="A1202" s="255" t="s">
        <v>2299</v>
      </c>
      <c r="B1202" s="248" t="s">
        <v>75</v>
      </c>
      <c r="C1202" s="248" t="s">
        <v>675</v>
      </c>
      <c r="D1202" s="248" t="s">
        <v>520</v>
      </c>
      <c r="E1202" s="248">
        <v>962884.0</v>
      </c>
      <c r="F1202" s="256">
        <v>45001.0</v>
      </c>
      <c r="G1202" s="248">
        <v>2023.0</v>
      </c>
      <c r="H1202" s="248" t="s">
        <v>513</v>
      </c>
      <c r="I1202" s="248" t="s">
        <v>514</v>
      </c>
      <c r="J1202" s="248" t="s">
        <v>309</v>
      </c>
      <c r="K1202" s="249" t="s">
        <v>66</v>
      </c>
      <c r="L1202" s="257" t="s">
        <v>523</v>
      </c>
      <c r="M1202" s="249"/>
      <c r="N1202" s="249"/>
      <c r="O1202" s="249"/>
      <c r="P1202" s="249"/>
      <c r="Q1202" s="249"/>
      <c r="R1202" s="249"/>
      <c r="S1202" s="249"/>
      <c r="T1202" s="249"/>
      <c r="U1202" s="249"/>
      <c r="V1202" s="249"/>
    </row>
    <row r="1203">
      <c r="A1203" s="255" t="s">
        <v>2300</v>
      </c>
      <c r="B1203" s="248" t="s">
        <v>705</v>
      </c>
      <c r="C1203" s="248" t="s">
        <v>706</v>
      </c>
      <c r="D1203" s="248" t="s">
        <v>512</v>
      </c>
      <c r="E1203" s="248">
        <v>82466.0</v>
      </c>
      <c r="F1203" s="256">
        <v>45000.0</v>
      </c>
      <c r="G1203" s="248">
        <v>2023.0</v>
      </c>
      <c r="H1203" s="248" t="s">
        <v>546</v>
      </c>
      <c r="I1203" s="248" t="s">
        <v>514</v>
      </c>
      <c r="J1203" s="248" t="s">
        <v>297</v>
      </c>
      <c r="K1203" s="249" t="s">
        <v>66</v>
      </c>
      <c r="L1203" s="257" t="s">
        <v>523</v>
      </c>
      <c r="M1203" s="249"/>
      <c r="N1203" s="249"/>
      <c r="O1203" s="249"/>
      <c r="P1203" s="249"/>
      <c r="Q1203" s="249"/>
      <c r="R1203" s="249"/>
      <c r="S1203" s="249"/>
      <c r="T1203" s="249"/>
      <c r="U1203" s="249"/>
      <c r="V1203" s="249"/>
    </row>
    <row r="1204">
      <c r="A1204" s="255" t="s">
        <v>2301</v>
      </c>
      <c r="B1204" s="248" t="s">
        <v>586</v>
      </c>
      <c r="C1204" s="248" t="s">
        <v>587</v>
      </c>
      <c r="D1204" s="248" t="s">
        <v>512</v>
      </c>
      <c r="E1204" s="248">
        <v>1980.0</v>
      </c>
      <c r="F1204" s="256">
        <v>44999.0</v>
      </c>
      <c r="G1204" s="248">
        <v>2023.0</v>
      </c>
      <c r="H1204" s="248" t="s">
        <v>513</v>
      </c>
      <c r="I1204" s="248" t="s">
        <v>521</v>
      </c>
      <c r="J1204" s="248" t="s">
        <v>297</v>
      </c>
      <c r="K1204" s="249" t="s">
        <v>66</v>
      </c>
      <c r="L1204" s="257" t="s">
        <v>523</v>
      </c>
      <c r="M1204" s="249"/>
      <c r="N1204" s="249"/>
      <c r="O1204" s="249"/>
      <c r="P1204" s="249"/>
      <c r="Q1204" s="249"/>
      <c r="R1204" s="249"/>
      <c r="S1204" s="249"/>
      <c r="T1204" s="249"/>
      <c r="U1204" s="249"/>
      <c r="V1204" s="249"/>
    </row>
    <row r="1205">
      <c r="A1205" s="255" t="s">
        <v>2302</v>
      </c>
      <c r="B1205" s="248" t="s">
        <v>607</v>
      </c>
      <c r="C1205" s="248" t="s">
        <v>608</v>
      </c>
      <c r="D1205" s="248" t="s">
        <v>512</v>
      </c>
      <c r="E1205" s="248">
        <v>82450.0</v>
      </c>
      <c r="F1205" s="256">
        <v>44999.0</v>
      </c>
      <c r="G1205" s="248">
        <v>2023.0</v>
      </c>
      <c r="H1205" s="248" t="s">
        <v>513</v>
      </c>
      <c r="I1205" s="248" t="s">
        <v>514</v>
      </c>
      <c r="J1205" s="248" t="s">
        <v>297</v>
      </c>
      <c r="K1205" s="249" t="s">
        <v>66</v>
      </c>
      <c r="L1205" s="257" t="s">
        <v>523</v>
      </c>
      <c r="M1205" s="249"/>
      <c r="N1205" s="249"/>
      <c r="O1205" s="249"/>
      <c r="P1205" s="249"/>
      <c r="Q1205" s="249"/>
      <c r="R1205" s="249"/>
      <c r="S1205" s="249"/>
      <c r="T1205" s="249"/>
      <c r="U1205" s="249"/>
      <c r="V1205" s="249"/>
    </row>
    <row r="1206">
      <c r="A1206" s="255" t="s">
        <v>2303</v>
      </c>
      <c r="B1206" s="248" t="s">
        <v>590</v>
      </c>
      <c r="C1206" s="248" t="s">
        <v>591</v>
      </c>
      <c r="D1206" s="248" t="s">
        <v>512</v>
      </c>
      <c r="E1206" s="248">
        <v>997097.0</v>
      </c>
      <c r="F1206" s="256">
        <v>44995.0</v>
      </c>
      <c r="G1206" s="248">
        <v>2023.0</v>
      </c>
      <c r="H1206" s="248" t="s">
        <v>513</v>
      </c>
      <c r="I1206" s="248" t="s">
        <v>514</v>
      </c>
      <c r="J1206" s="248" t="s">
        <v>297</v>
      </c>
      <c r="K1206" s="249" t="s">
        <v>66</v>
      </c>
      <c r="L1206" s="257" t="s">
        <v>523</v>
      </c>
      <c r="M1206" s="249"/>
      <c r="N1206" s="249"/>
      <c r="O1206" s="249"/>
      <c r="P1206" s="249"/>
      <c r="Q1206" s="249"/>
      <c r="R1206" s="249"/>
      <c r="S1206" s="249"/>
      <c r="T1206" s="249"/>
      <c r="U1206" s="249"/>
      <c r="V1206" s="249"/>
    </row>
    <row r="1207">
      <c r="A1207" s="255" t="s">
        <v>2304</v>
      </c>
      <c r="B1207" s="248" t="s">
        <v>564</v>
      </c>
      <c r="C1207" s="248" t="s">
        <v>565</v>
      </c>
      <c r="D1207" s="248" t="s">
        <v>512</v>
      </c>
      <c r="E1207" s="248">
        <v>1282.0</v>
      </c>
      <c r="F1207" s="256">
        <v>44995.0</v>
      </c>
      <c r="G1207" s="248">
        <v>2023.0</v>
      </c>
      <c r="H1207" s="248" t="s">
        <v>513</v>
      </c>
      <c r="I1207" s="248" t="s">
        <v>514</v>
      </c>
      <c r="J1207" s="248" t="s">
        <v>309</v>
      </c>
      <c r="K1207" s="249" t="s">
        <v>66</v>
      </c>
      <c r="L1207" s="257" t="s">
        <v>523</v>
      </c>
      <c r="M1207" s="249"/>
      <c r="N1207" s="249"/>
      <c r="O1207" s="249"/>
      <c r="P1207" s="249"/>
      <c r="Q1207" s="249"/>
      <c r="R1207" s="249"/>
      <c r="S1207" s="249"/>
      <c r="T1207" s="249"/>
      <c r="U1207" s="249"/>
      <c r="V1207" s="249"/>
    </row>
    <row r="1208">
      <c r="A1208" s="255" t="s">
        <v>2305</v>
      </c>
      <c r="B1208" s="248" t="s">
        <v>705</v>
      </c>
      <c r="C1208" s="248" t="s">
        <v>706</v>
      </c>
      <c r="D1208" s="248" t="s">
        <v>575</v>
      </c>
      <c r="E1208" s="248">
        <v>1378.0</v>
      </c>
      <c r="F1208" s="256">
        <v>44993.0</v>
      </c>
      <c r="G1208" s="248">
        <v>2023.0</v>
      </c>
      <c r="H1208" s="248" t="s">
        <v>513</v>
      </c>
      <c r="I1208" s="248" t="s">
        <v>514</v>
      </c>
      <c r="J1208" s="248" t="s">
        <v>297</v>
      </c>
      <c r="K1208" s="249" t="s">
        <v>66</v>
      </c>
      <c r="L1208" s="257" t="s">
        <v>523</v>
      </c>
      <c r="M1208" s="249"/>
      <c r="N1208" s="249"/>
      <c r="O1208" s="249"/>
      <c r="P1208" s="249"/>
      <c r="Q1208" s="249"/>
      <c r="R1208" s="249"/>
      <c r="S1208" s="249"/>
      <c r="T1208" s="249"/>
      <c r="U1208" s="249"/>
      <c r="V1208" s="249"/>
    </row>
    <row r="1209">
      <c r="A1209" s="255" t="s">
        <v>2306</v>
      </c>
      <c r="B1209" s="248" t="s">
        <v>573</v>
      </c>
      <c r="C1209" s="248" t="s">
        <v>574</v>
      </c>
      <c r="D1209" s="248" t="s">
        <v>520</v>
      </c>
      <c r="E1209" s="248">
        <v>37095.0</v>
      </c>
      <c r="F1209" s="256">
        <v>44992.0</v>
      </c>
      <c r="G1209" s="248">
        <v>2023.0</v>
      </c>
      <c r="H1209" s="248" t="s">
        <v>513</v>
      </c>
      <c r="I1209" s="248" t="s">
        <v>514</v>
      </c>
      <c r="J1209" s="248" t="s">
        <v>309</v>
      </c>
      <c r="K1209" s="249" t="s">
        <v>66</v>
      </c>
      <c r="L1209" s="257" t="s">
        <v>523</v>
      </c>
      <c r="M1209" s="249"/>
      <c r="N1209" s="249"/>
      <c r="O1209" s="249"/>
      <c r="P1209" s="249"/>
      <c r="Q1209" s="249"/>
      <c r="R1209" s="249"/>
      <c r="S1209" s="249"/>
      <c r="T1209" s="249"/>
      <c r="U1209" s="249"/>
      <c r="V1209" s="249"/>
    </row>
    <row r="1210">
      <c r="A1210" s="255" t="s">
        <v>2307</v>
      </c>
      <c r="B1210" s="248" t="s">
        <v>924</v>
      </c>
      <c r="C1210" s="248" t="s">
        <v>725</v>
      </c>
      <c r="D1210" s="248" t="s">
        <v>520</v>
      </c>
      <c r="E1210" s="248">
        <v>45350.0</v>
      </c>
      <c r="F1210" s="256">
        <v>44991.0</v>
      </c>
      <c r="G1210" s="248">
        <v>2023.0</v>
      </c>
      <c r="H1210" s="248" t="s">
        <v>513</v>
      </c>
      <c r="I1210" s="248" t="s">
        <v>521</v>
      </c>
      <c r="J1210" s="248" t="s">
        <v>309</v>
      </c>
      <c r="K1210" s="249" t="s">
        <v>66</v>
      </c>
      <c r="L1210" s="257" t="s">
        <v>523</v>
      </c>
      <c r="M1210" s="249"/>
      <c r="N1210" s="249"/>
      <c r="O1210" s="249"/>
      <c r="P1210" s="249"/>
      <c r="Q1210" s="249"/>
      <c r="R1210" s="249"/>
      <c r="S1210" s="249"/>
      <c r="T1210" s="249"/>
      <c r="U1210" s="249"/>
      <c r="V1210" s="249"/>
    </row>
    <row r="1211">
      <c r="A1211" s="255" t="s">
        <v>2308</v>
      </c>
      <c r="B1211" s="248" t="s">
        <v>727</v>
      </c>
      <c r="C1211" s="248" t="s">
        <v>658</v>
      </c>
      <c r="D1211" s="248" t="s">
        <v>575</v>
      </c>
      <c r="E1211" s="248">
        <v>35068.0</v>
      </c>
      <c r="F1211" s="256">
        <v>44988.0</v>
      </c>
      <c r="G1211" s="248">
        <v>2023.0</v>
      </c>
      <c r="H1211" s="248" t="s">
        <v>513</v>
      </c>
      <c r="I1211" s="248" t="s">
        <v>514</v>
      </c>
      <c r="J1211" s="248" t="s">
        <v>297</v>
      </c>
      <c r="K1211" s="249" t="s">
        <v>66</v>
      </c>
      <c r="L1211" s="257" t="s">
        <v>523</v>
      </c>
      <c r="M1211" s="249"/>
      <c r="N1211" s="249"/>
      <c r="O1211" s="249"/>
      <c r="P1211" s="249"/>
      <c r="Q1211" s="249"/>
      <c r="R1211" s="249"/>
      <c r="S1211" s="249"/>
      <c r="T1211" s="249"/>
      <c r="U1211" s="249"/>
      <c r="V1211" s="249"/>
    </row>
    <row r="1212">
      <c r="A1212" s="255" t="s">
        <v>2309</v>
      </c>
      <c r="B1212" s="248" t="s">
        <v>590</v>
      </c>
      <c r="C1212" s="248" t="s">
        <v>591</v>
      </c>
      <c r="D1212" s="248" t="s">
        <v>512</v>
      </c>
      <c r="E1212" s="248">
        <v>10161.0</v>
      </c>
      <c r="F1212" s="256">
        <v>44986.0</v>
      </c>
      <c r="G1212" s="248">
        <v>2023.0</v>
      </c>
      <c r="H1212" s="248" t="s">
        <v>513</v>
      </c>
      <c r="I1212" s="248" t="s">
        <v>514</v>
      </c>
      <c r="J1212" s="248" t="s">
        <v>297</v>
      </c>
      <c r="K1212" s="249" t="s">
        <v>66</v>
      </c>
      <c r="L1212" s="257" t="s">
        <v>523</v>
      </c>
      <c r="M1212" s="249"/>
      <c r="N1212" s="249"/>
      <c r="O1212" s="249"/>
      <c r="P1212" s="249"/>
      <c r="Q1212" s="249"/>
      <c r="R1212" s="249"/>
      <c r="S1212" s="249"/>
      <c r="T1212" s="249"/>
      <c r="U1212" s="249"/>
      <c r="V1212" s="249"/>
    </row>
    <row r="1213">
      <c r="A1213" s="255" t="s">
        <v>2310</v>
      </c>
      <c r="B1213" s="248" t="s">
        <v>679</v>
      </c>
      <c r="C1213" s="248" t="s">
        <v>663</v>
      </c>
      <c r="D1213" s="248" t="s">
        <v>512</v>
      </c>
      <c r="E1213" s="248">
        <v>78984.0</v>
      </c>
      <c r="F1213" s="256">
        <v>44985.0</v>
      </c>
      <c r="G1213" s="248">
        <v>2023.0</v>
      </c>
      <c r="H1213" s="248" t="s">
        <v>513</v>
      </c>
      <c r="I1213" s="248" t="s">
        <v>514</v>
      </c>
      <c r="J1213" s="248" t="s">
        <v>297</v>
      </c>
      <c r="K1213" s="249" t="s">
        <v>66</v>
      </c>
      <c r="L1213" s="257" t="s">
        <v>523</v>
      </c>
      <c r="M1213" s="249"/>
      <c r="N1213" s="249"/>
      <c r="O1213" s="249"/>
      <c r="P1213" s="249"/>
      <c r="Q1213" s="249"/>
      <c r="R1213" s="249"/>
      <c r="S1213" s="249"/>
      <c r="T1213" s="249"/>
      <c r="U1213" s="249"/>
      <c r="V1213" s="249"/>
    </row>
    <row r="1214">
      <c r="A1214" s="255" t="s">
        <v>2311</v>
      </c>
      <c r="B1214" s="248" t="s">
        <v>586</v>
      </c>
      <c r="C1214" s="248" t="s">
        <v>587</v>
      </c>
      <c r="D1214" s="248" t="s">
        <v>512</v>
      </c>
      <c r="E1214" s="248">
        <v>147826.0</v>
      </c>
      <c r="F1214" s="256">
        <v>44978.0</v>
      </c>
      <c r="G1214" s="248">
        <v>2023.0</v>
      </c>
      <c r="H1214" s="248" t="s">
        <v>513</v>
      </c>
      <c r="I1214" s="248" t="s">
        <v>514</v>
      </c>
      <c r="J1214" s="248" t="s">
        <v>297</v>
      </c>
      <c r="K1214" s="249" t="s">
        <v>66</v>
      </c>
      <c r="L1214" s="257" t="s">
        <v>523</v>
      </c>
      <c r="M1214" s="249"/>
      <c r="N1214" s="249"/>
      <c r="O1214" s="249"/>
      <c r="P1214" s="249"/>
      <c r="Q1214" s="249"/>
      <c r="R1214" s="249"/>
      <c r="S1214" s="249"/>
      <c r="T1214" s="249"/>
      <c r="U1214" s="249"/>
      <c r="V1214" s="249"/>
    </row>
    <row r="1215">
      <c r="A1215" s="288" t="s">
        <v>2312</v>
      </c>
      <c r="B1215" s="276" t="s">
        <v>573</v>
      </c>
      <c r="C1215" s="276" t="s">
        <v>574</v>
      </c>
      <c r="D1215" s="276" t="s">
        <v>512</v>
      </c>
      <c r="E1215" s="276">
        <v>2673.0</v>
      </c>
      <c r="F1215" s="289">
        <v>44964.0</v>
      </c>
      <c r="G1215" s="276">
        <v>2023.0</v>
      </c>
      <c r="H1215" s="276" t="s">
        <v>546</v>
      </c>
      <c r="I1215" s="276" t="s">
        <v>561</v>
      </c>
      <c r="J1215" s="276" t="s">
        <v>297</v>
      </c>
      <c r="K1215" s="278" t="s">
        <v>66</v>
      </c>
      <c r="L1215" s="290" t="s">
        <v>523</v>
      </c>
      <c r="M1215" s="249"/>
      <c r="N1215" s="249"/>
      <c r="O1215" s="249"/>
      <c r="P1215" s="249"/>
      <c r="Q1215" s="249"/>
      <c r="R1215" s="249"/>
      <c r="S1215" s="249"/>
      <c r="T1215" s="249"/>
      <c r="U1215" s="249"/>
      <c r="V1215" s="249"/>
    </row>
    <row r="1216">
      <c r="A1216" s="248"/>
      <c r="B1216" s="248"/>
      <c r="C1216" s="248"/>
      <c r="D1216" s="248"/>
      <c r="E1216" s="248"/>
      <c r="F1216" s="256"/>
      <c r="G1216" s="248"/>
      <c r="H1216" s="248"/>
      <c r="I1216" s="248"/>
      <c r="J1216" s="248"/>
      <c r="K1216" s="249"/>
      <c r="L1216" s="248"/>
      <c r="M1216" s="249"/>
      <c r="N1216" s="249"/>
      <c r="O1216" s="249"/>
      <c r="P1216" s="249"/>
      <c r="Q1216" s="249"/>
      <c r="R1216" s="249"/>
      <c r="S1216" s="249"/>
      <c r="T1216" s="249"/>
      <c r="U1216" s="249"/>
      <c r="V1216" s="249"/>
    </row>
    <row r="1217">
      <c r="A1217" s="291" t="s">
        <v>2313</v>
      </c>
      <c r="B1217" s="248"/>
      <c r="C1217" s="248"/>
      <c r="D1217" s="248"/>
      <c r="E1217" s="248"/>
      <c r="F1217" s="256"/>
      <c r="G1217" s="248"/>
      <c r="H1217" s="248"/>
      <c r="I1217" s="248"/>
      <c r="J1217" s="248"/>
      <c r="K1217" s="249"/>
      <c r="L1217" s="248"/>
      <c r="M1217" s="249"/>
      <c r="N1217" s="249"/>
      <c r="O1217" s="249"/>
      <c r="P1217" s="249"/>
      <c r="Q1217" s="249"/>
      <c r="R1217" s="249"/>
      <c r="S1217" s="249"/>
      <c r="T1217" s="249"/>
      <c r="U1217" s="249"/>
      <c r="V1217" s="249"/>
    </row>
    <row r="1218">
      <c r="A1218" s="248"/>
      <c r="B1218" s="248"/>
      <c r="C1218" s="248"/>
      <c r="D1218" s="248"/>
      <c r="E1218" s="248"/>
      <c r="F1218" s="256"/>
      <c r="G1218" s="248"/>
      <c r="H1218" s="248"/>
      <c r="I1218" s="248"/>
      <c r="J1218" s="248"/>
      <c r="K1218" s="249"/>
      <c r="L1218" s="248"/>
      <c r="M1218" s="249"/>
      <c r="N1218" s="249"/>
      <c r="O1218" s="249"/>
      <c r="P1218" s="249"/>
      <c r="Q1218" s="249"/>
      <c r="R1218" s="249"/>
      <c r="S1218" s="249"/>
      <c r="T1218" s="249"/>
      <c r="U1218" s="249"/>
      <c r="V1218" s="249"/>
    </row>
    <row r="1219">
      <c r="A1219" s="248"/>
      <c r="B1219" s="248"/>
      <c r="C1219" s="248"/>
      <c r="D1219" s="248"/>
      <c r="E1219" s="248"/>
      <c r="F1219" s="256"/>
      <c r="G1219" s="248"/>
      <c r="H1219" s="248"/>
      <c r="I1219" s="248"/>
      <c r="N1219" s="249"/>
      <c r="O1219" s="249"/>
      <c r="P1219" s="249"/>
      <c r="Q1219" s="249"/>
      <c r="R1219" s="249"/>
      <c r="S1219" s="249"/>
      <c r="T1219" s="249"/>
      <c r="U1219" s="249"/>
      <c r="V1219" s="249"/>
    </row>
    <row r="1220">
      <c r="A1220" s="250" t="s">
        <v>2314</v>
      </c>
      <c r="B1220" s="248"/>
      <c r="C1220" s="248"/>
      <c r="D1220" s="248"/>
      <c r="E1220" s="248"/>
      <c r="F1220" s="256"/>
      <c r="G1220" s="248"/>
      <c r="H1220" s="248"/>
      <c r="I1220" s="248"/>
      <c r="N1220" s="249"/>
      <c r="O1220" s="249"/>
      <c r="P1220" s="249"/>
      <c r="Q1220" s="249"/>
      <c r="R1220" s="249"/>
      <c r="S1220" s="249"/>
      <c r="T1220" s="249"/>
      <c r="U1220" s="249"/>
      <c r="V1220" s="249"/>
    </row>
    <row r="1221">
      <c r="A1221" s="248"/>
      <c r="B1221" s="248"/>
      <c r="C1221" s="248"/>
      <c r="D1221" s="248"/>
      <c r="E1221" s="248"/>
      <c r="F1221" s="256"/>
      <c r="G1221" s="248"/>
      <c r="H1221" s="248"/>
      <c r="I1221" s="248"/>
      <c r="N1221" s="249"/>
      <c r="O1221" s="249"/>
      <c r="P1221" s="249"/>
      <c r="Q1221" s="249"/>
      <c r="R1221" s="249"/>
      <c r="S1221" s="249"/>
      <c r="T1221" s="249"/>
      <c r="U1221" s="249"/>
      <c r="V1221" s="249"/>
    </row>
    <row r="1222">
      <c r="A1222" s="252" t="s">
        <v>2315</v>
      </c>
      <c r="B1222" s="253" t="s">
        <v>345</v>
      </c>
      <c r="C1222" s="253" t="s">
        <v>2316</v>
      </c>
      <c r="D1222" s="253" t="s">
        <v>2317</v>
      </c>
      <c r="E1222" s="253" t="s">
        <v>2318</v>
      </c>
      <c r="F1222" s="253" t="s">
        <v>2319</v>
      </c>
      <c r="G1222" s="253" t="s">
        <v>2320</v>
      </c>
      <c r="H1222" s="254" t="s">
        <v>2321</v>
      </c>
      <c r="I1222" s="248"/>
      <c r="J1222" s="112" t="s">
        <v>345</v>
      </c>
      <c r="K1222" s="253" t="s">
        <v>2317</v>
      </c>
      <c r="L1222" s="253" t="s">
        <v>2322</v>
      </c>
      <c r="M1222" s="254" t="s">
        <v>376</v>
      </c>
      <c r="N1222" s="249"/>
      <c r="O1222" s="112" t="s">
        <v>345</v>
      </c>
      <c r="P1222" s="253" t="s">
        <v>2317</v>
      </c>
      <c r="Q1222" s="253" t="s">
        <v>2322</v>
      </c>
      <c r="R1222" s="254" t="s">
        <v>376</v>
      </c>
      <c r="S1222" s="249"/>
      <c r="T1222" s="249"/>
      <c r="U1222" s="249"/>
      <c r="V1222" s="249"/>
    </row>
    <row r="1223">
      <c r="A1223" s="255" t="s">
        <v>2323</v>
      </c>
      <c r="B1223" s="248">
        <v>2024.0</v>
      </c>
      <c r="C1223" s="248" t="s">
        <v>2324</v>
      </c>
      <c r="D1223" s="248" t="s">
        <v>2325</v>
      </c>
      <c r="E1223" s="248" t="s">
        <v>2326</v>
      </c>
      <c r="F1223" s="248" t="s">
        <v>2327</v>
      </c>
      <c r="G1223" s="248" t="s">
        <v>34</v>
      </c>
      <c r="H1223" s="257" t="s">
        <v>2328</v>
      </c>
      <c r="I1223" s="248"/>
      <c r="J1223" s="255">
        <v>2024.0</v>
      </c>
      <c r="K1223" s="248" t="s">
        <v>2325</v>
      </c>
      <c r="L1223" s="249">
        <v>56.0</v>
      </c>
      <c r="M1223" s="292">
        <v>0.25225225225225223</v>
      </c>
      <c r="N1223" s="249"/>
      <c r="O1223" s="255">
        <v>2023.0</v>
      </c>
      <c r="P1223" s="248" t="s">
        <v>2325</v>
      </c>
      <c r="Q1223" s="249">
        <v>25.0</v>
      </c>
      <c r="R1223" s="262">
        <v>0.24271844660194175</v>
      </c>
      <c r="S1223" s="249"/>
      <c r="T1223" s="249"/>
      <c r="U1223" s="249"/>
      <c r="V1223" s="249"/>
    </row>
    <row r="1224">
      <c r="A1224" s="255" t="s">
        <v>2329</v>
      </c>
      <c r="B1224" s="248">
        <v>2024.0</v>
      </c>
      <c r="C1224" s="248" t="s">
        <v>2330</v>
      </c>
      <c r="D1224" s="248" t="s">
        <v>2331</v>
      </c>
      <c r="E1224" s="248" t="s">
        <v>2332</v>
      </c>
      <c r="F1224" s="248" t="s">
        <v>2327</v>
      </c>
      <c r="G1224" s="248" t="s">
        <v>34</v>
      </c>
      <c r="H1224" s="257" t="s">
        <v>2333</v>
      </c>
      <c r="I1224" s="248"/>
      <c r="J1224" s="255">
        <v>2024.0</v>
      </c>
      <c r="K1224" s="248" t="s">
        <v>2331</v>
      </c>
      <c r="L1224" s="249">
        <v>166.0</v>
      </c>
      <c r="M1224" s="292">
        <v>0.7477477477477478</v>
      </c>
      <c r="N1224" s="249"/>
      <c r="O1224" s="255">
        <v>2023.0</v>
      </c>
      <c r="P1224" s="248" t="s">
        <v>2331</v>
      </c>
      <c r="Q1224" s="249">
        <v>78.0</v>
      </c>
      <c r="R1224" s="262">
        <v>0.7572815533980582</v>
      </c>
      <c r="S1224" s="249"/>
      <c r="T1224" s="249"/>
      <c r="U1224" s="249"/>
      <c r="V1224" s="249"/>
    </row>
    <row r="1225">
      <c r="A1225" s="255" t="s">
        <v>2334</v>
      </c>
      <c r="B1225" s="248">
        <v>2024.0</v>
      </c>
      <c r="C1225" s="248" t="s">
        <v>2324</v>
      </c>
      <c r="D1225" s="248" t="s">
        <v>2331</v>
      </c>
      <c r="E1225" s="248" t="s">
        <v>2335</v>
      </c>
      <c r="F1225" s="248" t="s">
        <v>2336</v>
      </c>
      <c r="G1225" s="248" t="s">
        <v>34</v>
      </c>
      <c r="H1225" s="257" t="s">
        <v>2337</v>
      </c>
      <c r="I1225" s="248"/>
      <c r="J1225" s="252">
        <v>2024.0</v>
      </c>
      <c r="K1225" s="253" t="s">
        <v>528</v>
      </c>
      <c r="L1225" s="261">
        <v>222.0</v>
      </c>
      <c r="M1225" s="293">
        <v>1.0</v>
      </c>
      <c r="N1225" s="249"/>
      <c r="O1225" s="252">
        <v>2023.0</v>
      </c>
      <c r="P1225" s="253" t="s">
        <v>528</v>
      </c>
      <c r="Q1225" s="253">
        <v>103.0</v>
      </c>
      <c r="R1225" s="293">
        <v>1.0</v>
      </c>
      <c r="S1225" s="249"/>
      <c r="T1225" s="249"/>
      <c r="U1225" s="249"/>
      <c r="V1225" s="249"/>
    </row>
    <row r="1226">
      <c r="A1226" s="255" t="s">
        <v>2338</v>
      </c>
      <c r="B1226" s="248">
        <v>2024.0</v>
      </c>
      <c r="C1226" s="248" t="s">
        <v>2324</v>
      </c>
      <c r="D1226" s="248" t="s">
        <v>2331</v>
      </c>
      <c r="E1226" s="248" t="s">
        <v>2339</v>
      </c>
      <c r="F1226" s="248" t="s">
        <v>2327</v>
      </c>
      <c r="G1226" s="248" t="s">
        <v>34</v>
      </c>
      <c r="H1226" s="257" t="s">
        <v>2340</v>
      </c>
      <c r="I1226" s="248"/>
      <c r="J1226" s="248"/>
      <c r="K1226" s="249"/>
      <c r="L1226" s="248"/>
      <c r="M1226" s="249"/>
      <c r="N1226" s="249"/>
      <c r="O1226" s="249"/>
      <c r="P1226" s="249"/>
      <c r="Q1226" s="249"/>
      <c r="R1226" s="249"/>
      <c r="S1226" s="249"/>
      <c r="T1226" s="249"/>
      <c r="U1226" s="249"/>
      <c r="V1226" s="249"/>
    </row>
    <row r="1227">
      <c r="A1227" s="255" t="s">
        <v>2341</v>
      </c>
      <c r="B1227" s="248">
        <v>2024.0</v>
      </c>
      <c r="C1227" s="248" t="s">
        <v>2324</v>
      </c>
      <c r="D1227" s="248" t="s">
        <v>2331</v>
      </c>
      <c r="E1227" s="248" t="s">
        <v>2335</v>
      </c>
      <c r="F1227" s="248" t="s">
        <v>2336</v>
      </c>
      <c r="G1227" s="248" t="s">
        <v>34</v>
      </c>
      <c r="H1227" s="257" t="s">
        <v>2328</v>
      </c>
      <c r="I1227" s="248"/>
      <c r="N1227" s="249"/>
      <c r="O1227" s="249"/>
      <c r="P1227" s="249"/>
      <c r="Q1227" s="249"/>
      <c r="R1227" s="249"/>
      <c r="S1227" s="249"/>
      <c r="T1227" s="249"/>
      <c r="U1227" s="249"/>
      <c r="V1227" s="249"/>
    </row>
    <row r="1228">
      <c r="A1228" s="255" t="s">
        <v>2342</v>
      </c>
      <c r="B1228" s="248">
        <v>2024.0</v>
      </c>
      <c r="C1228" s="248" t="s">
        <v>2343</v>
      </c>
      <c r="D1228" s="248" t="s">
        <v>2325</v>
      </c>
      <c r="E1228" s="248" t="s">
        <v>2344</v>
      </c>
      <c r="F1228" s="248" t="s">
        <v>2327</v>
      </c>
      <c r="G1228" s="248" t="s">
        <v>34</v>
      </c>
      <c r="H1228" s="257" t="s">
        <v>2328</v>
      </c>
      <c r="I1228" s="248" t="s">
        <v>2345</v>
      </c>
      <c r="N1228" s="249"/>
      <c r="O1228" s="249"/>
      <c r="P1228" s="249"/>
      <c r="Q1228" s="249"/>
      <c r="R1228" s="249"/>
      <c r="S1228" s="249"/>
      <c r="T1228" s="249"/>
      <c r="U1228" s="249"/>
      <c r="V1228" s="249"/>
    </row>
    <row r="1229">
      <c r="A1229" s="255" t="s">
        <v>2346</v>
      </c>
      <c r="B1229" s="248">
        <v>2024.0</v>
      </c>
      <c r="C1229" s="248" t="s">
        <v>2343</v>
      </c>
      <c r="D1229" s="248" t="s">
        <v>2325</v>
      </c>
      <c r="E1229" s="248" t="s">
        <v>2347</v>
      </c>
      <c r="F1229" s="248" t="s">
        <v>2327</v>
      </c>
      <c r="G1229" s="248" t="s">
        <v>34</v>
      </c>
      <c r="H1229" s="257" t="s">
        <v>2340</v>
      </c>
      <c r="I1229" s="248"/>
      <c r="N1229" s="249"/>
      <c r="O1229" s="249"/>
      <c r="P1229" s="249"/>
      <c r="Q1229" s="249"/>
      <c r="R1229" s="249"/>
      <c r="S1229" s="249"/>
      <c r="T1229" s="249"/>
      <c r="U1229" s="249"/>
      <c r="V1229" s="249"/>
    </row>
    <row r="1230">
      <c r="A1230" s="255" t="s">
        <v>2348</v>
      </c>
      <c r="B1230" s="248">
        <v>2024.0</v>
      </c>
      <c r="C1230" s="248" t="s">
        <v>2349</v>
      </c>
      <c r="D1230" s="248" t="s">
        <v>2325</v>
      </c>
      <c r="E1230" s="248" t="s">
        <v>2347</v>
      </c>
      <c r="F1230" s="248" t="s">
        <v>2336</v>
      </c>
      <c r="G1230" s="248" t="s">
        <v>34</v>
      </c>
      <c r="H1230" s="257" t="s">
        <v>2328</v>
      </c>
      <c r="I1230" s="248"/>
      <c r="N1230" s="249"/>
      <c r="O1230" s="249"/>
      <c r="P1230" s="249"/>
      <c r="Q1230" s="249"/>
      <c r="R1230" s="249"/>
      <c r="S1230" s="249"/>
      <c r="T1230" s="249"/>
      <c r="U1230" s="249"/>
      <c r="V1230" s="249"/>
    </row>
    <row r="1231">
      <c r="A1231" s="255" t="s">
        <v>2350</v>
      </c>
      <c r="B1231" s="248">
        <v>2024.0</v>
      </c>
      <c r="C1231" s="248" t="s">
        <v>2324</v>
      </c>
      <c r="D1231" s="248" t="s">
        <v>2331</v>
      </c>
      <c r="E1231" s="248" t="s">
        <v>2351</v>
      </c>
      <c r="F1231" s="248" t="s">
        <v>2327</v>
      </c>
      <c r="G1231" s="248" t="s">
        <v>34</v>
      </c>
      <c r="H1231" s="257" t="s">
        <v>2340</v>
      </c>
      <c r="I1231" s="248"/>
      <c r="N1231" s="249"/>
      <c r="O1231" s="249"/>
      <c r="P1231" s="249"/>
      <c r="Q1231" s="249"/>
      <c r="R1231" s="249"/>
      <c r="S1231" s="249"/>
      <c r="T1231" s="249"/>
      <c r="U1231" s="249"/>
      <c r="V1231" s="249"/>
    </row>
    <row r="1232">
      <c r="A1232" s="255" t="s">
        <v>2352</v>
      </c>
      <c r="B1232" s="248">
        <v>2024.0</v>
      </c>
      <c r="C1232" s="248" t="s">
        <v>2324</v>
      </c>
      <c r="D1232" s="248" t="s">
        <v>2325</v>
      </c>
      <c r="E1232" s="248" t="s">
        <v>2344</v>
      </c>
      <c r="F1232" s="248" t="s">
        <v>2336</v>
      </c>
      <c r="G1232" s="248" t="s">
        <v>34</v>
      </c>
      <c r="H1232" s="257" t="s">
        <v>2333</v>
      </c>
      <c r="I1232" s="248"/>
      <c r="J1232" s="248"/>
      <c r="K1232" s="249"/>
      <c r="L1232" s="248"/>
      <c r="M1232" s="249"/>
      <c r="N1232" s="249"/>
      <c r="O1232" s="249"/>
      <c r="P1232" s="249"/>
      <c r="Q1232" s="249"/>
      <c r="R1232" s="249"/>
      <c r="S1232" s="249"/>
      <c r="T1232" s="249"/>
      <c r="U1232" s="249"/>
      <c r="V1232" s="249"/>
    </row>
    <row r="1233">
      <c r="A1233" s="255" t="s">
        <v>2353</v>
      </c>
      <c r="B1233" s="248">
        <v>2024.0</v>
      </c>
      <c r="C1233" s="248" t="s">
        <v>2349</v>
      </c>
      <c r="D1233" s="248" t="s">
        <v>2331</v>
      </c>
      <c r="E1233" s="248" t="s">
        <v>2332</v>
      </c>
      <c r="F1233" s="248" t="s">
        <v>2327</v>
      </c>
      <c r="G1233" s="248" t="s">
        <v>34</v>
      </c>
      <c r="H1233" s="257" t="s">
        <v>2340</v>
      </c>
      <c r="I1233" s="248"/>
      <c r="J1233" s="248"/>
      <c r="K1233" s="249"/>
      <c r="L1233" s="248"/>
      <c r="M1233" s="249"/>
      <c r="N1233" s="249"/>
      <c r="O1233" s="249"/>
      <c r="P1233" s="249"/>
      <c r="Q1233" s="249"/>
      <c r="R1233" s="249"/>
      <c r="S1233" s="249"/>
      <c r="T1233" s="249"/>
      <c r="U1233" s="249"/>
      <c r="V1233" s="249"/>
    </row>
    <row r="1234">
      <c r="A1234" s="255" t="s">
        <v>2354</v>
      </c>
      <c r="B1234" s="248">
        <v>2024.0</v>
      </c>
      <c r="C1234" s="248" t="s">
        <v>2324</v>
      </c>
      <c r="D1234" s="248" t="s">
        <v>2325</v>
      </c>
      <c r="E1234" s="248" t="s">
        <v>2326</v>
      </c>
      <c r="F1234" s="248" t="s">
        <v>2327</v>
      </c>
      <c r="G1234" s="248" t="s">
        <v>34</v>
      </c>
      <c r="H1234" s="257" t="s">
        <v>2328</v>
      </c>
      <c r="I1234" s="248"/>
      <c r="J1234" s="248"/>
      <c r="K1234" s="249"/>
      <c r="L1234" s="248"/>
      <c r="M1234" s="248"/>
      <c r="N1234" s="249"/>
      <c r="O1234" s="249"/>
      <c r="P1234" s="249"/>
      <c r="Q1234" s="249"/>
      <c r="R1234" s="249"/>
      <c r="S1234" s="249"/>
      <c r="T1234" s="249"/>
      <c r="U1234" s="249"/>
      <c r="V1234" s="249"/>
    </row>
    <row r="1235">
      <c r="A1235" s="255" t="s">
        <v>2355</v>
      </c>
      <c r="B1235" s="248">
        <v>2024.0</v>
      </c>
      <c r="C1235" s="248" t="s">
        <v>2324</v>
      </c>
      <c r="D1235" s="248" t="s">
        <v>2325</v>
      </c>
      <c r="E1235" s="248" t="s">
        <v>2326</v>
      </c>
      <c r="F1235" s="248" t="s">
        <v>2327</v>
      </c>
      <c r="G1235" s="248" t="s">
        <v>34</v>
      </c>
      <c r="H1235" s="257" t="s">
        <v>2328</v>
      </c>
      <c r="I1235" s="248"/>
      <c r="J1235" s="248"/>
      <c r="K1235" s="249"/>
      <c r="L1235" s="249"/>
      <c r="M1235" s="294"/>
      <c r="N1235" s="249"/>
      <c r="O1235" s="249"/>
      <c r="P1235" s="249"/>
      <c r="Q1235" s="249"/>
      <c r="R1235" s="249"/>
      <c r="S1235" s="249"/>
      <c r="T1235" s="249"/>
      <c r="U1235" s="249"/>
      <c r="V1235" s="249"/>
    </row>
    <row r="1236">
      <c r="A1236" s="255" t="s">
        <v>2356</v>
      </c>
      <c r="B1236" s="248">
        <v>2024.0</v>
      </c>
      <c r="C1236" s="248" t="s">
        <v>2324</v>
      </c>
      <c r="D1236" s="248" t="s">
        <v>2331</v>
      </c>
      <c r="E1236" s="248" t="s">
        <v>2357</v>
      </c>
      <c r="F1236" s="248" t="s">
        <v>2327</v>
      </c>
      <c r="G1236" s="248" t="s">
        <v>34</v>
      </c>
      <c r="H1236" s="257" t="s">
        <v>2333</v>
      </c>
      <c r="I1236" s="248"/>
      <c r="J1236" s="248"/>
      <c r="K1236" s="249"/>
      <c r="L1236" s="249"/>
      <c r="M1236" s="294"/>
      <c r="N1236" s="249"/>
      <c r="O1236" s="249"/>
      <c r="P1236" s="249"/>
      <c r="Q1236" s="249"/>
      <c r="R1236" s="249"/>
      <c r="S1236" s="249"/>
      <c r="T1236" s="249"/>
      <c r="U1236" s="249"/>
      <c r="V1236" s="249"/>
    </row>
    <row r="1237">
      <c r="A1237" s="255" t="s">
        <v>2358</v>
      </c>
      <c r="B1237" s="248">
        <v>2024.0</v>
      </c>
      <c r="C1237" s="248" t="s">
        <v>2330</v>
      </c>
      <c r="D1237" s="248" t="s">
        <v>2331</v>
      </c>
      <c r="E1237" s="248" t="s">
        <v>2351</v>
      </c>
      <c r="F1237" s="248" t="s">
        <v>2327</v>
      </c>
      <c r="G1237" s="248" t="s">
        <v>34</v>
      </c>
      <c r="H1237" s="257" t="s">
        <v>2337</v>
      </c>
      <c r="I1237" s="248"/>
      <c r="J1237" s="248"/>
      <c r="K1237" s="249"/>
      <c r="L1237" s="249"/>
      <c r="M1237" s="294"/>
      <c r="N1237" s="249"/>
      <c r="O1237" s="249"/>
      <c r="P1237" s="249"/>
      <c r="Q1237" s="249"/>
      <c r="R1237" s="249"/>
      <c r="S1237" s="249"/>
      <c r="T1237" s="249"/>
      <c r="U1237" s="249"/>
      <c r="V1237" s="249"/>
    </row>
    <row r="1238">
      <c r="A1238" s="255" t="s">
        <v>2359</v>
      </c>
      <c r="B1238" s="248">
        <v>2024.0</v>
      </c>
      <c r="C1238" s="248" t="s">
        <v>2324</v>
      </c>
      <c r="D1238" s="248" t="s">
        <v>2331</v>
      </c>
      <c r="E1238" s="248" t="s">
        <v>2360</v>
      </c>
      <c r="F1238" s="248" t="s">
        <v>2327</v>
      </c>
      <c r="G1238" s="248" t="s">
        <v>34</v>
      </c>
      <c r="H1238" s="257" t="s">
        <v>2337</v>
      </c>
      <c r="I1238" s="248"/>
      <c r="J1238" s="248"/>
      <c r="K1238" s="249"/>
      <c r="L1238" s="249"/>
      <c r="M1238" s="294"/>
      <c r="N1238" s="249"/>
      <c r="O1238" s="249"/>
      <c r="P1238" s="249"/>
      <c r="Q1238" s="249"/>
      <c r="R1238" s="249"/>
      <c r="S1238" s="249"/>
      <c r="T1238" s="249"/>
      <c r="U1238" s="249"/>
      <c r="V1238" s="249"/>
    </row>
    <row r="1239">
      <c r="A1239" s="255" t="s">
        <v>2361</v>
      </c>
      <c r="B1239" s="248">
        <v>2024.0</v>
      </c>
      <c r="C1239" s="248" t="s">
        <v>2324</v>
      </c>
      <c r="D1239" s="248" t="s">
        <v>2331</v>
      </c>
      <c r="E1239" s="248" t="s">
        <v>2362</v>
      </c>
      <c r="F1239" s="248" t="s">
        <v>2327</v>
      </c>
      <c r="G1239" s="248" t="s">
        <v>34</v>
      </c>
      <c r="H1239" s="257" t="s">
        <v>2333</v>
      </c>
      <c r="I1239" s="248"/>
      <c r="J1239" s="248"/>
      <c r="K1239" s="249"/>
      <c r="L1239" s="249"/>
      <c r="M1239" s="294"/>
      <c r="N1239" s="249"/>
      <c r="O1239" s="249"/>
      <c r="P1239" s="249"/>
      <c r="Q1239" s="249"/>
      <c r="R1239" s="249"/>
      <c r="S1239" s="249"/>
      <c r="T1239" s="249"/>
      <c r="U1239" s="249"/>
      <c r="V1239" s="249"/>
    </row>
    <row r="1240">
      <c r="A1240" s="255" t="s">
        <v>2363</v>
      </c>
      <c r="B1240" s="248">
        <v>2024.0</v>
      </c>
      <c r="C1240" s="248" t="s">
        <v>2343</v>
      </c>
      <c r="D1240" s="248" t="s">
        <v>2325</v>
      </c>
      <c r="E1240" s="248" t="s">
        <v>2326</v>
      </c>
      <c r="F1240" s="248" t="s">
        <v>2336</v>
      </c>
      <c r="G1240" s="248" t="s">
        <v>34</v>
      </c>
      <c r="H1240" s="257" t="s">
        <v>2340</v>
      </c>
      <c r="I1240" s="248"/>
      <c r="J1240" s="248"/>
      <c r="K1240" s="249"/>
      <c r="L1240" s="249"/>
      <c r="M1240" s="294"/>
      <c r="N1240" s="249"/>
      <c r="O1240" s="249"/>
      <c r="P1240" s="249"/>
      <c r="Q1240" s="249"/>
      <c r="R1240" s="249"/>
      <c r="S1240" s="249"/>
      <c r="T1240" s="249"/>
      <c r="U1240" s="249"/>
      <c r="V1240" s="249"/>
    </row>
    <row r="1241">
      <c r="A1241" s="255" t="s">
        <v>2364</v>
      </c>
      <c r="B1241" s="248">
        <v>2024.0</v>
      </c>
      <c r="C1241" s="248" t="s">
        <v>2324</v>
      </c>
      <c r="D1241" s="248" t="s">
        <v>2331</v>
      </c>
      <c r="E1241" s="248" t="s">
        <v>2357</v>
      </c>
      <c r="F1241" s="248" t="s">
        <v>2336</v>
      </c>
      <c r="G1241" s="248" t="s">
        <v>34</v>
      </c>
      <c r="H1241" s="257" t="s">
        <v>2328</v>
      </c>
      <c r="I1241" s="248"/>
      <c r="J1241" s="248"/>
      <c r="K1241" s="249"/>
      <c r="L1241" s="248"/>
      <c r="M1241" s="249"/>
      <c r="N1241" s="249"/>
      <c r="O1241" s="249"/>
      <c r="P1241" s="249"/>
      <c r="Q1241" s="249"/>
      <c r="R1241" s="249"/>
      <c r="S1241" s="249"/>
      <c r="T1241" s="249"/>
      <c r="U1241" s="249"/>
      <c r="V1241" s="249"/>
    </row>
    <row r="1242">
      <c r="A1242" s="255" t="s">
        <v>2365</v>
      </c>
      <c r="B1242" s="248">
        <v>2024.0</v>
      </c>
      <c r="C1242" s="248" t="s">
        <v>2324</v>
      </c>
      <c r="D1242" s="248" t="s">
        <v>2331</v>
      </c>
      <c r="E1242" s="248" t="s">
        <v>2335</v>
      </c>
      <c r="F1242" s="248" t="s">
        <v>2327</v>
      </c>
      <c r="G1242" s="248" t="s">
        <v>34</v>
      </c>
      <c r="H1242" s="257" t="s">
        <v>2340</v>
      </c>
      <c r="I1242" s="248"/>
      <c r="J1242" s="248"/>
      <c r="K1242" s="249"/>
      <c r="L1242" s="248"/>
      <c r="M1242" s="249"/>
      <c r="N1242" s="249"/>
      <c r="O1242" s="249"/>
      <c r="P1242" s="249"/>
      <c r="Q1242" s="249"/>
      <c r="R1242" s="249"/>
      <c r="S1242" s="249"/>
      <c r="T1242" s="249"/>
      <c r="U1242" s="249"/>
      <c r="V1242" s="249"/>
    </row>
    <row r="1243">
      <c r="A1243" s="255" t="s">
        <v>2366</v>
      </c>
      <c r="B1243" s="248">
        <v>2024.0</v>
      </c>
      <c r="C1243" s="248" t="s">
        <v>2324</v>
      </c>
      <c r="D1243" s="248" t="s">
        <v>2325</v>
      </c>
      <c r="E1243" s="248" t="s">
        <v>2326</v>
      </c>
      <c r="F1243" s="248" t="s">
        <v>2327</v>
      </c>
      <c r="G1243" s="248" t="s">
        <v>34</v>
      </c>
      <c r="H1243" s="257" t="s">
        <v>2340</v>
      </c>
      <c r="I1243" s="248"/>
      <c r="J1243" s="248"/>
      <c r="K1243" s="249"/>
      <c r="L1243" s="248"/>
      <c r="M1243" s="249"/>
      <c r="N1243" s="249"/>
      <c r="O1243" s="249"/>
      <c r="P1243" s="249"/>
      <c r="Q1243" s="249"/>
      <c r="R1243" s="249"/>
      <c r="S1243" s="249"/>
      <c r="T1243" s="249"/>
      <c r="U1243" s="249"/>
      <c r="V1243" s="249"/>
    </row>
    <row r="1244">
      <c r="A1244" s="255" t="s">
        <v>2367</v>
      </c>
      <c r="B1244" s="248">
        <v>2024.0</v>
      </c>
      <c r="C1244" s="248" t="s">
        <v>2330</v>
      </c>
      <c r="D1244" s="248" t="s">
        <v>2331</v>
      </c>
      <c r="E1244" s="248" t="s">
        <v>2360</v>
      </c>
      <c r="F1244" s="248" t="s">
        <v>2336</v>
      </c>
      <c r="G1244" s="248" t="s">
        <v>34</v>
      </c>
      <c r="H1244" s="257" t="s">
        <v>2340</v>
      </c>
      <c r="I1244" s="248"/>
      <c r="J1244" s="248"/>
      <c r="K1244" s="249"/>
      <c r="L1244" s="248"/>
      <c r="M1244" s="249"/>
      <c r="N1244" s="249"/>
      <c r="O1244" s="249"/>
      <c r="P1244" s="249"/>
      <c r="Q1244" s="249"/>
      <c r="R1244" s="249"/>
      <c r="S1244" s="249"/>
      <c r="T1244" s="249"/>
      <c r="U1244" s="249"/>
      <c r="V1244" s="249"/>
    </row>
    <row r="1245">
      <c r="A1245" s="255" t="s">
        <v>2368</v>
      </c>
      <c r="B1245" s="248">
        <v>2024.0</v>
      </c>
      <c r="C1245" s="248" t="s">
        <v>2330</v>
      </c>
      <c r="D1245" s="248" t="s">
        <v>2331</v>
      </c>
      <c r="E1245" s="248" t="s">
        <v>2335</v>
      </c>
      <c r="F1245" s="248" t="s">
        <v>2336</v>
      </c>
      <c r="G1245" s="248" t="s">
        <v>34</v>
      </c>
      <c r="H1245" s="257" t="s">
        <v>2337</v>
      </c>
      <c r="I1245" s="248"/>
      <c r="J1245" s="248"/>
      <c r="K1245" s="249"/>
      <c r="L1245" s="248"/>
      <c r="M1245" s="249"/>
      <c r="N1245" s="249"/>
      <c r="O1245" s="249"/>
      <c r="P1245" s="249"/>
      <c r="Q1245" s="249"/>
      <c r="R1245" s="249"/>
      <c r="S1245" s="249"/>
      <c r="T1245" s="249"/>
      <c r="U1245" s="249"/>
      <c r="V1245" s="249"/>
    </row>
    <row r="1246">
      <c r="A1246" s="255" t="s">
        <v>2369</v>
      </c>
      <c r="B1246" s="248">
        <v>2024.0</v>
      </c>
      <c r="C1246" s="248" t="s">
        <v>2343</v>
      </c>
      <c r="D1246" s="248" t="s">
        <v>2331</v>
      </c>
      <c r="E1246" s="248" t="s">
        <v>2332</v>
      </c>
      <c r="F1246" s="248" t="s">
        <v>2370</v>
      </c>
      <c r="G1246" s="248" t="s">
        <v>34</v>
      </c>
      <c r="H1246" s="257" t="s">
        <v>2340</v>
      </c>
      <c r="I1246" s="248"/>
      <c r="J1246" s="248"/>
      <c r="K1246" s="249"/>
      <c r="L1246" s="248"/>
      <c r="M1246" s="249"/>
      <c r="N1246" s="249"/>
      <c r="O1246" s="249"/>
      <c r="P1246" s="249"/>
      <c r="Q1246" s="249"/>
      <c r="R1246" s="249"/>
      <c r="S1246" s="249"/>
      <c r="T1246" s="249"/>
      <c r="U1246" s="249"/>
      <c r="V1246" s="249"/>
    </row>
    <row r="1247">
      <c r="A1247" s="255" t="s">
        <v>2371</v>
      </c>
      <c r="B1247" s="248">
        <v>2024.0</v>
      </c>
      <c r="C1247" s="248" t="s">
        <v>2324</v>
      </c>
      <c r="D1247" s="248" t="s">
        <v>2331</v>
      </c>
      <c r="E1247" s="248" t="s">
        <v>2360</v>
      </c>
      <c r="F1247" s="248" t="s">
        <v>2327</v>
      </c>
      <c r="G1247" s="248" t="s">
        <v>34</v>
      </c>
      <c r="H1247" s="257" t="s">
        <v>2340</v>
      </c>
      <c r="I1247" s="248"/>
      <c r="J1247" s="248"/>
      <c r="K1247" s="249"/>
      <c r="L1247" s="248"/>
      <c r="M1247" s="249"/>
      <c r="N1247" s="249"/>
      <c r="O1247" s="249"/>
      <c r="P1247" s="249"/>
      <c r="Q1247" s="249"/>
      <c r="R1247" s="249"/>
      <c r="S1247" s="249"/>
      <c r="T1247" s="249"/>
      <c r="U1247" s="249"/>
      <c r="V1247" s="249"/>
    </row>
    <row r="1248">
      <c r="A1248" s="255" t="s">
        <v>2372</v>
      </c>
      <c r="B1248" s="248">
        <v>2024.0</v>
      </c>
      <c r="C1248" s="248" t="s">
        <v>2324</v>
      </c>
      <c r="D1248" s="248" t="s">
        <v>2331</v>
      </c>
      <c r="E1248" s="248" t="s">
        <v>2335</v>
      </c>
      <c r="F1248" s="248" t="s">
        <v>2336</v>
      </c>
      <c r="G1248" s="248" t="s">
        <v>34</v>
      </c>
      <c r="H1248" s="257" t="s">
        <v>2340</v>
      </c>
      <c r="I1248" s="248"/>
      <c r="J1248" s="248"/>
      <c r="K1248" s="249"/>
      <c r="L1248" s="248"/>
      <c r="M1248" s="249"/>
      <c r="N1248" s="249"/>
      <c r="O1248" s="249"/>
      <c r="P1248" s="249"/>
      <c r="Q1248" s="249"/>
      <c r="R1248" s="249"/>
      <c r="S1248" s="249"/>
      <c r="T1248" s="249"/>
      <c r="U1248" s="249"/>
      <c r="V1248" s="249"/>
    </row>
    <row r="1249">
      <c r="A1249" s="255" t="s">
        <v>2373</v>
      </c>
      <c r="B1249" s="248">
        <v>2024.0</v>
      </c>
      <c r="C1249" s="248" t="s">
        <v>2324</v>
      </c>
      <c r="D1249" s="248" t="s">
        <v>2325</v>
      </c>
      <c r="E1249" s="248" t="s">
        <v>2347</v>
      </c>
      <c r="F1249" s="248" t="s">
        <v>2327</v>
      </c>
      <c r="G1249" s="248" t="s">
        <v>34</v>
      </c>
      <c r="H1249" s="257" t="s">
        <v>2337</v>
      </c>
      <c r="I1249" s="248"/>
      <c r="J1249" s="248"/>
      <c r="K1249" s="249"/>
      <c r="L1249" s="248"/>
      <c r="M1249" s="249"/>
      <c r="N1249" s="249"/>
      <c r="O1249" s="249"/>
      <c r="P1249" s="249"/>
      <c r="Q1249" s="249"/>
      <c r="R1249" s="249"/>
      <c r="S1249" s="249"/>
      <c r="T1249" s="249"/>
      <c r="U1249" s="249"/>
      <c r="V1249" s="249"/>
    </row>
    <row r="1250">
      <c r="A1250" s="255" t="s">
        <v>2374</v>
      </c>
      <c r="B1250" s="248">
        <v>2024.0</v>
      </c>
      <c r="C1250" s="248" t="s">
        <v>2324</v>
      </c>
      <c r="D1250" s="248" t="s">
        <v>2325</v>
      </c>
      <c r="E1250" s="248" t="s">
        <v>2344</v>
      </c>
      <c r="F1250" s="248" t="s">
        <v>2370</v>
      </c>
      <c r="G1250" s="248" t="s">
        <v>34</v>
      </c>
      <c r="H1250" s="257" t="s">
        <v>2328</v>
      </c>
      <c r="I1250" s="248"/>
      <c r="J1250" s="248"/>
      <c r="K1250" s="249"/>
      <c r="L1250" s="248"/>
      <c r="M1250" s="249"/>
      <c r="N1250" s="249"/>
      <c r="O1250" s="249"/>
      <c r="P1250" s="249"/>
      <c r="Q1250" s="249"/>
      <c r="R1250" s="249"/>
      <c r="S1250" s="249"/>
      <c r="T1250" s="249"/>
      <c r="U1250" s="249"/>
      <c r="V1250" s="249"/>
    </row>
    <row r="1251">
      <c r="A1251" s="255" t="s">
        <v>2375</v>
      </c>
      <c r="B1251" s="248">
        <v>2024.0</v>
      </c>
      <c r="C1251" s="248" t="s">
        <v>2324</v>
      </c>
      <c r="D1251" s="248" t="s">
        <v>2325</v>
      </c>
      <c r="E1251" s="248" t="s">
        <v>2347</v>
      </c>
      <c r="F1251" s="248" t="s">
        <v>2327</v>
      </c>
      <c r="G1251" s="248" t="s">
        <v>34</v>
      </c>
      <c r="H1251" s="257" t="s">
        <v>2328</v>
      </c>
      <c r="I1251" s="248"/>
      <c r="J1251" s="248"/>
      <c r="K1251" s="249"/>
      <c r="L1251" s="248"/>
      <c r="M1251" s="249"/>
      <c r="N1251" s="249"/>
      <c r="O1251" s="249"/>
      <c r="P1251" s="249"/>
      <c r="Q1251" s="249"/>
      <c r="R1251" s="249"/>
      <c r="S1251" s="249"/>
      <c r="T1251" s="249"/>
      <c r="U1251" s="249"/>
      <c r="V1251" s="249"/>
    </row>
    <row r="1252">
      <c r="A1252" s="255" t="s">
        <v>2376</v>
      </c>
      <c r="B1252" s="248">
        <v>2024.0</v>
      </c>
      <c r="C1252" s="248" t="s">
        <v>2330</v>
      </c>
      <c r="D1252" s="248" t="s">
        <v>2331</v>
      </c>
      <c r="E1252" s="248" t="s">
        <v>2335</v>
      </c>
      <c r="F1252" s="248" t="s">
        <v>2327</v>
      </c>
      <c r="G1252" s="248" t="s">
        <v>34</v>
      </c>
      <c r="H1252" s="257" t="s">
        <v>2340</v>
      </c>
      <c r="I1252" s="248"/>
      <c r="J1252" s="248"/>
      <c r="K1252" s="249"/>
      <c r="L1252" s="248"/>
      <c r="M1252" s="249"/>
      <c r="N1252" s="249"/>
      <c r="O1252" s="249"/>
      <c r="P1252" s="249"/>
      <c r="Q1252" s="249"/>
      <c r="R1252" s="249"/>
      <c r="S1252" s="249"/>
      <c r="T1252" s="249"/>
      <c r="U1252" s="249"/>
      <c r="V1252" s="249"/>
    </row>
    <row r="1253">
      <c r="A1253" s="255" t="s">
        <v>2377</v>
      </c>
      <c r="B1253" s="248">
        <v>2024.0</v>
      </c>
      <c r="C1253" s="248" t="s">
        <v>2330</v>
      </c>
      <c r="D1253" s="248" t="s">
        <v>2331</v>
      </c>
      <c r="E1253" s="248" t="s">
        <v>2332</v>
      </c>
      <c r="F1253" s="248" t="s">
        <v>2327</v>
      </c>
      <c r="G1253" s="248" t="s">
        <v>34</v>
      </c>
      <c r="H1253" s="257" t="s">
        <v>2333</v>
      </c>
      <c r="I1253" s="248"/>
      <c r="J1253" s="248"/>
      <c r="K1253" s="249"/>
      <c r="L1253" s="248"/>
      <c r="M1253" s="249"/>
      <c r="N1253" s="249"/>
      <c r="O1253" s="249"/>
      <c r="P1253" s="249"/>
      <c r="Q1253" s="249"/>
      <c r="R1253" s="249"/>
      <c r="S1253" s="249"/>
      <c r="T1253" s="249"/>
      <c r="U1253" s="249"/>
      <c r="V1253" s="249"/>
    </row>
    <row r="1254">
      <c r="A1254" s="255" t="s">
        <v>2378</v>
      </c>
      <c r="B1254" s="248">
        <v>2024.0</v>
      </c>
      <c r="C1254" s="248" t="s">
        <v>2349</v>
      </c>
      <c r="D1254" s="248" t="s">
        <v>2331</v>
      </c>
      <c r="E1254" s="248" t="s">
        <v>2332</v>
      </c>
      <c r="F1254" s="248" t="s">
        <v>2336</v>
      </c>
      <c r="G1254" s="248" t="s">
        <v>34</v>
      </c>
      <c r="H1254" s="257" t="s">
        <v>2328</v>
      </c>
      <c r="I1254" s="248"/>
      <c r="J1254" s="248"/>
      <c r="K1254" s="249"/>
      <c r="L1254" s="248"/>
      <c r="M1254" s="249"/>
      <c r="N1254" s="249"/>
      <c r="O1254" s="249"/>
      <c r="P1254" s="249"/>
      <c r="Q1254" s="249"/>
      <c r="R1254" s="249"/>
      <c r="S1254" s="249"/>
      <c r="T1254" s="249"/>
      <c r="U1254" s="249"/>
      <c r="V1254" s="249"/>
    </row>
    <row r="1255">
      <c r="A1255" s="255" t="s">
        <v>2379</v>
      </c>
      <c r="B1255" s="248">
        <v>2024.0</v>
      </c>
      <c r="C1255" s="248" t="s">
        <v>2324</v>
      </c>
      <c r="D1255" s="248" t="s">
        <v>2325</v>
      </c>
      <c r="E1255" s="248" t="s">
        <v>2347</v>
      </c>
      <c r="F1255" s="248" t="s">
        <v>2370</v>
      </c>
      <c r="G1255" s="248" t="s">
        <v>34</v>
      </c>
      <c r="H1255" s="257" t="s">
        <v>2337</v>
      </c>
      <c r="I1255" s="248"/>
      <c r="J1255" s="248"/>
      <c r="K1255" s="249"/>
      <c r="L1255" s="248"/>
      <c r="M1255" s="249"/>
      <c r="N1255" s="249"/>
      <c r="O1255" s="249"/>
      <c r="P1255" s="249"/>
      <c r="Q1255" s="249"/>
      <c r="R1255" s="249"/>
      <c r="S1255" s="249"/>
      <c r="T1255" s="249"/>
      <c r="U1255" s="249"/>
      <c r="V1255" s="249"/>
    </row>
    <row r="1256">
      <c r="A1256" s="255" t="s">
        <v>2380</v>
      </c>
      <c r="B1256" s="248">
        <v>2024.0</v>
      </c>
      <c r="C1256" s="248" t="s">
        <v>2324</v>
      </c>
      <c r="D1256" s="248" t="s">
        <v>2325</v>
      </c>
      <c r="E1256" s="248" t="s">
        <v>2347</v>
      </c>
      <c r="F1256" s="248" t="s">
        <v>2336</v>
      </c>
      <c r="G1256" s="248" t="s">
        <v>34</v>
      </c>
      <c r="H1256" s="257" t="s">
        <v>2337</v>
      </c>
      <c r="I1256" s="248"/>
      <c r="J1256" s="248"/>
      <c r="K1256" s="249"/>
      <c r="L1256" s="248"/>
      <c r="M1256" s="249"/>
      <c r="N1256" s="249"/>
      <c r="O1256" s="249"/>
      <c r="P1256" s="249"/>
      <c r="Q1256" s="249"/>
      <c r="R1256" s="249"/>
      <c r="S1256" s="249"/>
      <c r="T1256" s="249"/>
      <c r="U1256" s="249"/>
      <c r="V1256" s="249"/>
    </row>
    <row r="1257">
      <c r="A1257" s="255" t="s">
        <v>2381</v>
      </c>
      <c r="B1257" s="248">
        <v>2024.0</v>
      </c>
      <c r="C1257" s="248" t="s">
        <v>2324</v>
      </c>
      <c r="D1257" s="248" t="s">
        <v>2325</v>
      </c>
      <c r="E1257" s="248" t="s">
        <v>2347</v>
      </c>
      <c r="F1257" s="248" t="s">
        <v>2370</v>
      </c>
      <c r="G1257" s="248" t="s">
        <v>34</v>
      </c>
      <c r="H1257" s="257" t="s">
        <v>2340</v>
      </c>
      <c r="I1257" s="248"/>
      <c r="J1257" s="248"/>
      <c r="K1257" s="249"/>
      <c r="L1257" s="248"/>
      <c r="M1257" s="249"/>
      <c r="N1257" s="249"/>
      <c r="O1257" s="249"/>
      <c r="P1257" s="249"/>
      <c r="Q1257" s="249"/>
      <c r="R1257" s="249"/>
      <c r="S1257" s="249"/>
      <c r="T1257" s="249"/>
      <c r="U1257" s="249"/>
      <c r="V1257" s="249"/>
    </row>
    <row r="1258">
      <c r="A1258" s="255" t="s">
        <v>2382</v>
      </c>
      <c r="B1258" s="248">
        <v>2024.0</v>
      </c>
      <c r="C1258" s="248" t="s">
        <v>2324</v>
      </c>
      <c r="D1258" s="248" t="s">
        <v>2325</v>
      </c>
      <c r="E1258" s="248" t="s">
        <v>2347</v>
      </c>
      <c r="F1258" s="248" t="s">
        <v>2370</v>
      </c>
      <c r="G1258" s="248" t="s">
        <v>34</v>
      </c>
      <c r="H1258" s="257" t="s">
        <v>2337</v>
      </c>
      <c r="I1258" s="248"/>
      <c r="J1258" s="248"/>
      <c r="K1258" s="249"/>
      <c r="L1258" s="248"/>
      <c r="M1258" s="249"/>
      <c r="N1258" s="249"/>
      <c r="O1258" s="249"/>
      <c r="P1258" s="249"/>
      <c r="Q1258" s="249"/>
      <c r="R1258" s="249"/>
      <c r="S1258" s="249"/>
      <c r="T1258" s="249"/>
      <c r="U1258" s="249"/>
      <c r="V1258" s="249"/>
    </row>
    <row r="1259">
      <c r="A1259" s="255" t="s">
        <v>2383</v>
      </c>
      <c r="B1259" s="248">
        <v>2024.0</v>
      </c>
      <c r="C1259" s="248" t="s">
        <v>2324</v>
      </c>
      <c r="D1259" s="248" t="s">
        <v>2331</v>
      </c>
      <c r="E1259" s="248" t="s">
        <v>2357</v>
      </c>
      <c r="F1259" s="248" t="s">
        <v>2336</v>
      </c>
      <c r="G1259" s="248" t="s">
        <v>34</v>
      </c>
      <c r="H1259" s="257" t="s">
        <v>2340</v>
      </c>
      <c r="I1259" s="248"/>
      <c r="J1259" s="248"/>
      <c r="K1259" s="249"/>
      <c r="L1259" s="248"/>
      <c r="M1259" s="249"/>
      <c r="N1259" s="249"/>
      <c r="O1259" s="249"/>
      <c r="P1259" s="249"/>
      <c r="Q1259" s="249"/>
      <c r="R1259" s="249"/>
      <c r="S1259" s="249"/>
      <c r="T1259" s="249"/>
      <c r="U1259" s="249"/>
      <c r="V1259" s="249"/>
    </row>
    <row r="1260">
      <c r="A1260" s="255" t="s">
        <v>2384</v>
      </c>
      <c r="B1260" s="248">
        <v>2024.0</v>
      </c>
      <c r="C1260" s="248" t="s">
        <v>2324</v>
      </c>
      <c r="D1260" s="248" t="s">
        <v>2325</v>
      </c>
      <c r="E1260" s="248" t="s">
        <v>2347</v>
      </c>
      <c r="F1260" s="248" t="s">
        <v>2327</v>
      </c>
      <c r="G1260" s="248" t="s">
        <v>34</v>
      </c>
      <c r="H1260" s="257" t="s">
        <v>2340</v>
      </c>
      <c r="I1260" s="248"/>
      <c r="J1260" s="248"/>
      <c r="K1260" s="249"/>
      <c r="L1260" s="248"/>
      <c r="M1260" s="249"/>
      <c r="N1260" s="249"/>
      <c r="O1260" s="249"/>
      <c r="P1260" s="249"/>
      <c r="Q1260" s="249"/>
      <c r="R1260" s="249"/>
      <c r="S1260" s="249"/>
      <c r="T1260" s="249"/>
      <c r="U1260" s="249"/>
      <c r="V1260" s="249"/>
    </row>
    <row r="1261">
      <c r="A1261" s="255" t="s">
        <v>2385</v>
      </c>
      <c r="B1261" s="248">
        <v>2024.0</v>
      </c>
      <c r="C1261" s="248" t="s">
        <v>2349</v>
      </c>
      <c r="D1261" s="248" t="s">
        <v>2325</v>
      </c>
      <c r="E1261" s="248" t="s">
        <v>2347</v>
      </c>
      <c r="F1261" s="248" t="s">
        <v>2370</v>
      </c>
      <c r="G1261" s="248" t="s">
        <v>34</v>
      </c>
      <c r="H1261" s="257" t="s">
        <v>2340</v>
      </c>
      <c r="I1261" s="248"/>
      <c r="J1261" s="248"/>
      <c r="K1261" s="249"/>
      <c r="L1261" s="248"/>
      <c r="M1261" s="249"/>
      <c r="N1261" s="249"/>
      <c r="O1261" s="249"/>
      <c r="P1261" s="249"/>
      <c r="Q1261" s="249"/>
      <c r="R1261" s="249"/>
      <c r="S1261" s="249"/>
      <c r="T1261" s="249"/>
      <c r="U1261" s="249"/>
      <c r="V1261" s="249"/>
    </row>
    <row r="1262">
      <c r="A1262" s="255" t="s">
        <v>2386</v>
      </c>
      <c r="B1262" s="248">
        <v>2024.0</v>
      </c>
      <c r="C1262" s="248" t="s">
        <v>2349</v>
      </c>
      <c r="D1262" s="248" t="s">
        <v>2325</v>
      </c>
      <c r="E1262" s="248" t="s">
        <v>2347</v>
      </c>
      <c r="F1262" s="248" t="s">
        <v>2370</v>
      </c>
      <c r="G1262" s="248" t="s">
        <v>34</v>
      </c>
      <c r="H1262" s="257" t="s">
        <v>2340</v>
      </c>
      <c r="I1262" s="248"/>
      <c r="J1262" s="248"/>
      <c r="K1262" s="249"/>
      <c r="L1262" s="248"/>
      <c r="M1262" s="249"/>
      <c r="N1262" s="249"/>
      <c r="O1262" s="249"/>
      <c r="P1262" s="249"/>
      <c r="Q1262" s="249"/>
      <c r="R1262" s="249"/>
      <c r="S1262" s="249"/>
      <c r="T1262" s="249"/>
      <c r="U1262" s="249"/>
      <c r="V1262" s="249"/>
    </row>
    <row r="1263">
      <c r="A1263" s="255" t="s">
        <v>2387</v>
      </c>
      <c r="B1263" s="248">
        <v>2024.0</v>
      </c>
      <c r="C1263" s="248" t="s">
        <v>2343</v>
      </c>
      <c r="D1263" s="248" t="s">
        <v>2331</v>
      </c>
      <c r="E1263" s="248" t="s">
        <v>2335</v>
      </c>
      <c r="F1263" s="248" t="s">
        <v>2327</v>
      </c>
      <c r="G1263" s="248" t="s">
        <v>34</v>
      </c>
      <c r="H1263" s="257" t="s">
        <v>2328</v>
      </c>
      <c r="I1263" s="248"/>
      <c r="J1263" s="248"/>
      <c r="K1263" s="249"/>
      <c r="L1263" s="248"/>
      <c r="M1263" s="249"/>
      <c r="N1263" s="249"/>
      <c r="O1263" s="249"/>
      <c r="P1263" s="249"/>
      <c r="Q1263" s="249"/>
      <c r="R1263" s="249"/>
      <c r="S1263" s="249"/>
      <c r="T1263" s="249"/>
      <c r="U1263" s="249"/>
      <c r="V1263" s="249"/>
    </row>
    <row r="1264">
      <c r="A1264" s="255" t="s">
        <v>2388</v>
      </c>
      <c r="B1264" s="248">
        <v>2024.0</v>
      </c>
      <c r="C1264" s="248" t="s">
        <v>2324</v>
      </c>
      <c r="D1264" s="248" t="s">
        <v>2325</v>
      </c>
      <c r="E1264" s="248" t="s">
        <v>2344</v>
      </c>
      <c r="F1264" s="248" t="s">
        <v>2327</v>
      </c>
      <c r="G1264" s="248" t="s">
        <v>34</v>
      </c>
      <c r="H1264" s="257" t="s">
        <v>2328</v>
      </c>
      <c r="I1264" s="248"/>
      <c r="J1264" s="248"/>
      <c r="K1264" s="249"/>
      <c r="L1264" s="248"/>
      <c r="M1264" s="249"/>
      <c r="N1264" s="249"/>
      <c r="O1264" s="249"/>
      <c r="P1264" s="249"/>
      <c r="Q1264" s="249"/>
      <c r="R1264" s="249"/>
      <c r="S1264" s="249"/>
      <c r="T1264" s="249"/>
      <c r="U1264" s="249"/>
      <c r="V1264" s="249"/>
    </row>
    <row r="1265">
      <c r="A1265" s="255" t="s">
        <v>2389</v>
      </c>
      <c r="B1265" s="248">
        <v>2024.0</v>
      </c>
      <c r="C1265" s="248" t="s">
        <v>2324</v>
      </c>
      <c r="D1265" s="248" t="s">
        <v>2325</v>
      </c>
      <c r="E1265" s="248" t="s">
        <v>2347</v>
      </c>
      <c r="F1265" s="248" t="s">
        <v>2327</v>
      </c>
      <c r="G1265" s="248" t="s">
        <v>34</v>
      </c>
      <c r="H1265" s="257" t="s">
        <v>2337</v>
      </c>
      <c r="I1265" s="248"/>
      <c r="J1265" s="248"/>
      <c r="K1265" s="249"/>
      <c r="L1265" s="248"/>
      <c r="M1265" s="249"/>
      <c r="N1265" s="249"/>
      <c r="O1265" s="249"/>
      <c r="P1265" s="249"/>
      <c r="Q1265" s="249"/>
      <c r="R1265" s="249"/>
      <c r="S1265" s="249"/>
      <c r="T1265" s="249"/>
      <c r="U1265" s="249"/>
      <c r="V1265" s="249"/>
    </row>
    <row r="1266">
      <c r="A1266" s="255" t="s">
        <v>2390</v>
      </c>
      <c r="B1266" s="248">
        <v>2024.0</v>
      </c>
      <c r="C1266" s="248" t="s">
        <v>2343</v>
      </c>
      <c r="D1266" s="248" t="s">
        <v>2325</v>
      </c>
      <c r="E1266" s="248" t="s">
        <v>2391</v>
      </c>
      <c r="F1266" s="248" t="s">
        <v>2327</v>
      </c>
      <c r="G1266" s="248" t="s">
        <v>34</v>
      </c>
      <c r="H1266" s="257" t="s">
        <v>2333</v>
      </c>
      <c r="I1266" s="248"/>
      <c r="J1266" s="248"/>
      <c r="K1266" s="249"/>
      <c r="L1266" s="248"/>
      <c r="M1266" s="249"/>
      <c r="N1266" s="249"/>
      <c r="O1266" s="249"/>
      <c r="P1266" s="249"/>
      <c r="Q1266" s="249"/>
      <c r="R1266" s="249"/>
      <c r="S1266" s="249"/>
      <c r="T1266" s="249"/>
      <c r="U1266" s="249"/>
      <c r="V1266" s="249"/>
    </row>
    <row r="1267">
      <c r="A1267" s="255" t="s">
        <v>2392</v>
      </c>
      <c r="B1267" s="248">
        <v>2024.0</v>
      </c>
      <c r="C1267" s="248" t="s">
        <v>2330</v>
      </c>
      <c r="D1267" s="248" t="s">
        <v>2331</v>
      </c>
      <c r="E1267" s="248" t="s">
        <v>2335</v>
      </c>
      <c r="F1267" s="248" t="s">
        <v>2327</v>
      </c>
      <c r="G1267" s="248" t="s">
        <v>34</v>
      </c>
      <c r="H1267" s="257" t="s">
        <v>2333</v>
      </c>
      <c r="I1267" s="248"/>
      <c r="J1267" s="248"/>
      <c r="K1267" s="249"/>
      <c r="L1267" s="248"/>
      <c r="M1267" s="249"/>
      <c r="N1267" s="249"/>
      <c r="O1267" s="249"/>
      <c r="P1267" s="249"/>
      <c r="Q1267" s="249"/>
      <c r="R1267" s="249"/>
      <c r="S1267" s="249"/>
      <c r="T1267" s="249"/>
      <c r="U1267" s="249"/>
      <c r="V1267" s="249"/>
    </row>
    <row r="1268">
      <c r="A1268" s="255" t="s">
        <v>2393</v>
      </c>
      <c r="B1268" s="248">
        <v>2024.0</v>
      </c>
      <c r="C1268" s="248" t="s">
        <v>2349</v>
      </c>
      <c r="D1268" s="248" t="s">
        <v>2331</v>
      </c>
      <c r="E1268" s="248" t="s">
        <v>2394</v>
      </c>
      <c r="F1268" s="248" t="s">
        <v>2336</v>
      </c>
      <c r="G1268" s="248" t="s">
        <v>34</v>
      </c>
      <c r="H1268" s="257" t="s">
        <v>2333</v>
      </c>
      <c r="I1268" s="248"/>
      <c r="J1268" s="248"/>
      <c r="K1268" s="249"/>
      <c r="L1268" s="248"/>
      <c r="M1268" s="249"/>
      <c r="N1268" s="249"/>
      <c r="O1268" s="249"/>
      <c r="P1268" s="249"/>
      <c r="Q1268" s="249"/>
      <c r="R1268" s="249"/>
      <c r="S1268" s="249"/>
      <c r="T1268" s="249"/>
      <c r="U1268" s="249"/>
      <c r="V1268" s="249"/>
    </row>
    <row r="1269">
      <c r="A1269" s="255" t="s">
        <v>2395</v>
      </c>
      <c r="B1269" s="248">
        <v>2024.0</v>
      </c>
      <c r="C1269" s="248" t="s">
        <v>2330</v>
      </c>
      <c r="D1269" s="248" t="s">
        <v>2331</v>
      </c>
      <c r="E1269" s="248" t="s">
        <v>2335</v>
      </c>
      <c r="F1269" s="248" t="s">
        <v>2327</v>
      </c>
      <c r="G1269" s="248" t="s">
        <v>34</v>
      </c>
      <c r="H1269" s="257" t="s">
        <v>2328</v>
      </c>
      <c r="I1269" s="248"/>
      <c r="J1269" s="248"/>
      <c r="K1269" s="249"/>
      <c r="L1269" s="248"/>
      <c r="M1269" s="249"/>
      <c r="N1269" s="249"/>
      <c r="O1269" s="249"/>
      <c r="P1269" s="249"/>
      <c r="Q1269" s="249"/>
      <c r="R1269" s="249"/>
      <c r="S1269" s="249"/>
      <c r="T1269" s="249"/>
      <c r="U1269" s="249"/>
      <c r="V1269" s="249"/>
    </row>
    <row r="1270">
      <c r="A1270" s="255" t="s">
        <v>2396</v>
      </c>
      <c r="B1270" s="248">
        <v>2024.0</v>
      </c>
      <c r="C1270" s="248" t="s">
        <v>2324</v>
      </c>
      <c r="D1270" s="248" t="s">
        <v>2331</v>
      </c>
      <c r="E1270" s="248" t="s">
        <v>2357</v>
      </c>
      <c r="F1270" s="248" t="s">
        <v>2336</v>
      </c>
      <c r="G1270" s="248" t="s">
        <v>34</v>
      </c>
      <c r="H1270" s="257" t="s">
        <v>2333</v>
      </c>
      <c r="I1270" s="248"/>
      <c r="J1270" s="248"/>
      <c r="K1270" s="249"/>
      <c r="L1270" s="248"/>
      <c r="M1270" s="249"/>
      <c r="N1270" s="249"/>
      <c r="O1270" s="249"/>
      <c r="P1270" s="249"/>
      <c r="Q1270" s="249"/>
      <c r="R1270" s="249"/>
      <c r="S1270" s="249"/>
      <c r="T1270" s="249"/>
      <c r="U1270" s="249"/>
      <c r="V1270" s="249"/>
    </row>
    <row r="1271">
      <c r="A1271" s="255" t="s">
        <v>2397</v>
      </c>
      <c r="B1271" s="248">
        <v>2024.0</v>
      </c>
      <c r="C1271" s="248" t="s">
        <v>2324</v>
      </c>
      <c r="D1271" s="248" t="s">
        <v>2331</v>
      </c>
      <c r="E1271" s="248" t="s">
        <v>2335</v>
      </c>
      <c r="F1271" s="248" t="s">
        <v>2327</v>
      </c>
      <c r="G1271" s="248" t="s">
        <v>34</v>
      </c>
      <c r="H1271" s="257" t="s">
        <v>2333</v>
      </c>
      <c r="I1271" s="248"/>
      <c r="J1271" s="248"/>
      <c r="K1271" s="249"/>
      <c r="L1271" s="248"/>
      <c r="M1271" s="249"/>
      <c r="N1271" s="249"/>
      <c r="O1271" s="249"/>
      <c r="P1271" s="249"/>
      <c r="Q1271" s="249"/>
      <c r="R1271" s="249"/>
      <c r="S1271" s="249"/>
      <c r="T1271" s="249"/>
      <c r="U1271" s="249"/>
      <c r="V1271" s="249"/>
    </row>
    <row r="1272">
      <c r="A1272" s="255" t="s">
        <v>2398</v>
      </c>
      <c r="B1272" s="248">
        <v>2024.0</v>
      </c>
      <c r="C1272" s="248" t="s">
        <v>2324</v>
      </c>
      <c r="D1272" s="248" t="s">
        <v>2331</v>
      </c>
      <c r="E1272" s="248" t="s">
        <v>2335</v>
      </c>
      <c r="F1272" s="248" t="s">
        <v>2327</v>
      </c>
      <c r="G1272" s="248" t="s">
        <v>34</v>
      </c>
      <c r="H1272" s="257" t="s">
        <v>2340</v>
      </c>
      <c r="I1272" s="248"/>
      <c r="J1272" s="248"/>
      <c r="K1272" s="249"/>
      <c r="L1272" s="248"/>
      <c r="M1272" s="249"/>
      <c r="N1272" s="249"/>
      <c r="O1272" s="249"/>
      <c r="P1272" s="249"/>
      <c r="Q1272" s="249"/>
      <c r="R1272" s="249"/>
      <c r="S1272" s="249"/>
      <c r="T1272" s="249"/>
      <c r="U1272" s="249"/>
      <c r="V1272" s="249"/>
    </row>
    <row r="1273">
      <c r="A1273" s="255" t="s">
        <v>2399</v>
      </c>
      <c r="B1273" s="248">
        <v>2024.0</v>
      </c>
      <c r="C1273" s="248" t="s">
        <v>2343</v>
      </c>
      <c r="D1273" s="248" t="s">
        <v>2325</v>
      </c>
      <c r="E1273" s="248" t="s">
        <v>2347</v>
      </c>
      <c r="F1273" s="248" t="s">
        <v>2336</v>
      </c>
      <c r="G1273" s="248" t="s">
        <v>34</v>
      </c>
      <c r="H1273" s="257" t="s">
        <v>2333</v>
      </c>
      <c r="I1273" s="248"/>
      <c r="J1273" s="248"/>
      <c r="K1273" s="249"/>
      <c r="L1273" s="248"/>
      <c r="M1273" s="249"/>
      <c r="N1273" s="249"/>
      <c r="O1273" s="249"/>
      <c r="P1273" s="249"/>
      <c r="Q1273" s="249"/>
      <c r="R1273" s="249"/>
      <c r="S1273" s="249"/>
      <c r="T1273" s="249"/>
      <c r="U1273" s="249"/>
      <c r="V1273" s="249"/>
    </row>
    <row r="1274">
      <c r="A1274" s="255" t="s">
        <v>2400</v>
      </c>
      <c r="B1274" s="248">
        <v>2024.0</v>
      </c>
      <c r="C1274" s="248" t="s">
        <v>2330</v>
      </c>
      <c r="D1274" s="248" t="s">
        <v>2331</v>
      </c>
      <c r="E1274" s="248" t="s">
        <v>2357</v>
      </c>
      <c r="F1274" s="248" t="s">
        <v>2327</v>
      </c>
      <c r="G1274" s="248" t="s">
        <v>34</v>
      </c>
      <c r="H1274" s="257" t="s">
        <v>2333</v>
      </c>
      <c r="I1274" s="248"/>
      <c r="J1274" s="248"/>
      <c r="K1274" s="249"/>
      <c r="L1274" s="248"/>
      <c r="M1274" s="249"/>
      <c r="N1274" s="249"/>
      <c r="O1274" s="249"/>
      <c r="P1274" s="249"/>
      <c r="Q1274" s="249"/>
      <c r="R1274" s="249"/>
      <c r="S1274" s="249"/>
      <c r="T1274" s="249"/>
      <c r="U1274" s="249"/>
      <c r="V1274" s="249"/>
    </row>
    <row r="1275">
      <c r="A1275" s="255" t="s">
        <v>2401</v>
      </c>
      <c r="B1275" s="248">
        <v>2024.0</v>
      </c>
      <c r="C1275" s="248" t="s">
        <v>2343</v>
      </c>
      <c r="D1275" s="248" t="s">
        <v>2325</v>
      </c>
      <c r="E1275" s="248" t="s">
        <v>2347</v>
      </c>
      <c r="F1275" s="248" t="s">
        <v>2327</v>
      </c>
      <c r="G1275" s="248" t="s">
        <v>34</v>
      </c>
      <c r="H1275" s="257" t="s">
        <v>2328</v>
      </c>
      <c r="I1275" s="248"/>
      <c r="J1275" s="248"/>
      <c r="K1275" s="249"/>
      <c r="L1275" s="248"/>
      <c r="M1275" s="249"/>
      <c r="N1275" s="249"/>
      <c r="O1275" s="249"/>
      <c r="P1275" s="249"/>
      <c r="Q1275" s="249"/>
      <c r="R1275" s="249"/>
      <c r="S1275" s="249"/>
      <c r="T1275" s="249"/>
      <c r="U1275" s="249"/>
      <c r="V1275" s="249"/>
    </row>
    <row r="1276">
      <c r="A1276" s="255" t="s">
        <v>2402</v>
      </c>
      <c r="B1276" s="248">
        <v>2024.0</v>
      </c>
      <c r="C1276" s="248" t="s">
        <v>2324</v>
      </c>
      <c r="D1276" s="248" t="s">
        <v>2325</v>
      </c>
      <c r="E1276" s="248" t="s">
        <v>2347</v>
      </c>
      <c r="F1276" s="248" t="s">
        <v>2327</v>
      </c>
      <c r="G1276" s="248" t="s">
        <v>34</v>
      </c>
      <c r="H1276" s="257" t="s">
        <v>2340</v>
      </c>
      <c r="I1276" s="248"/>
      <c r="J1276" s="248"/>
      <c r="K1276" s="249"/>
      <c r="L1276" s="248"/>
      <c r="M1276" s="249"/>
      <c r="N1276" s="249"/>
      <c r="O1276" s="249"/>
      <c r="P1276" s="249"/>
      <c r="Q1276" s="249"/>
      <c r="R1276" s="249"/>
      <c r="S1276" s="249"/>
      <c r="T1276" s="249"/>
      <c r="U1276" s="249"/>
      <c r="V1276" s="249"/>
    </row>
    <row r="1277">
      <c r="A1277" s="255" t="s">
        <v>2403</v>
      </c>
      <c r="B1277" s="248">
        <v>2024.0</v>
      </c>
      <c r="C1277" s="248" t="s">
        <v>2324</v>
      </c>
      <c r="D1277" s="248" t="s">
        <v>2325</v>
      </c>
      <c r="E1277" s="248" t="s">
        <v>2347</v>
      </c>
      <c r="F1277" s="248" t="s">
        <v>2327</v>
      </c>
      <c r="G1277" s="248" t="s">
        <v>34</v>
      </c>
      <c r="H1277" s="257" t="s">
        <v>2340</v>
      </c>
      <c r="I1277" s="248"/>
      <c r="J1277" s="248"/>
      <c r="K1277" s="249"/>
      <c r="L1277" s="248"/>
      <c r="M1277" s="249"/>
      <c r="N1277" s="249"/>
      <c r="O1277" s="249"/>
      <c r="P1277" s="249"/>
      <c r="Q1277" s="249"/>
      <c r="R1277" s="249"/>
      <c r="S1277" s="249"/>
      <c r="T1277" s="249"/>
      <c r="U1277" s="249"/>
      <c r="V1277" s="249"/>
    </row>
    <row r="1278">
      <c r="A1278" s="255" t="s">
        <v>2404</v>
      </c>
      <c r="B1278" s="248">
        <v>2024.0</v>
      </c>
      <c r="C1278" s="248" t="s">
        <v>2330</v>
      </c>
      <c r="D1278" s="248" t="s">
        <v>2331</v>
      </c>
      <c r="E1278" s="248" t="s">
        <v>2332</v>
      </c>
      <c r="F1278" s="248" t="s">
        <v>2327</v>
      </c>
      <c r="G1278" s="248" t="s">
        <v>34</v>
      </c>
      <c r="H1278" s="257" t="s">
        <v>2328</v>
      </c>
      <c r="I1278" s="248"/>
      <c r="J1278" s="248"/>
      <c r="K1278" s="249"/>
      <c r="L1278" s="248"/>
      <c r="M1278" s="249"/>
      <c r="N1278" s="249"/>
      <c r="O1278" s="249"/>
      <c r="P1278" s="249"/>
      <c r="Q1278" s="249"/>
      <c r="R1278" s="249"/>
      <c r="S1278" s="249"/>
      <c r="T1278" s="249"/>
      <c r="U1278" s="249"/>
      <c r="V1278" s="249"/>
    </row>
    <row r="1279">
      <c r="A1279" s="255" t="s">
        <v>2405</v>
      </c>
      <c r="B1279" s="248">
        <v>2024.0</v>
      </c>
      <c r="C1279" s="248" t="s">
        <v>2349</v>
      </c>
      <c r="D1279" s="248" t="s">
        <v>2331</v>
      </c>
      <c r="E1279" s="248" t="s">
        <v>2394</v>
      </c>
      <c r="F1279" s="248" t="s">
        <v>2336</v>
      </c>
      <c r="G1279" s="248" t="s">
        <v>34</v>
      </c>
      <c r="H1279" s="257" t="s">
        <v>2340</v>
      </c>
      <c r="I1279" s="248"/>
      <c r="J1279" s="248"/>
      <c r="K1279" s="249"/>
      <c r="L1279" s="248"/>
      <c r="M1279" s="249"/>
      <c r="N1279" s="249"/>
      <c r="O1279" s="249"/>
      <c r="P1279" s="249"/>
      <c r="Q1279" s="249"/>
      <c r="R1279" s="249"/>
      <c r="S1279" s="249"/>
      <c r="T1279" s="249"/>
      <c r="U1279" s="249"/>
      <c r="V1279" s="249"/>
    </row>
    <row r="1280">
      <c r="A1280" s="255" t="s">
        <v>2406</v>
      </c>
      <c r="B1280" s="248">
        <v>2024.0</v>
      </c>
      <c r="C1280" s="248" t="s">
        <v>2343</v>
      </c>
      <c r="D1280" s="248" t="s">
        <v>2331</v>
      </c>
      <c r="E1280" s="248" t="s">
        <v>2335</v>
      </c>
      <c r="F1280" s="248" t="s">
        <v>2327</v>
      </c>
      <c r="G1280" s="248" t="s">
        <v>34</v>
      </c>
      <c r="H1280" s="257" t="s">
        <v>2333</v>
      </c>
      <c r="I1280" s="248"/>
      <c r="J1280" s="248"/>
      <c r="K1280" s="249"/>
      <c r="L1280" s="248"/>
      <c r="M1280" s="249"/>
      <c r="N1280" s="249"/>
      <c r="O1280" s="249"/>
      <c r="P1280" s="249"/>
      <c r="Q1280" s="249"/>
      <c r="R1280" s="249"/>
      <c r="S1280" s="249"/>
      <c r="T1280" s="249"/>
      <c r="U1280" s="249"/>
      <c r="V1280" s="249"/>
    </row>
    <row r="1281">
      <c r="A1281" s="255" t="s">
        <v>2407</v>
      </c>
      <c r="B1281" s="248">
        <v>2024.0</v>
      </c>
      <c r="C1281" s="248" t="s">
        <v>2330</v>
      </c>
      <c r="D1281" s="248" t="s">
        <v>2331</v>
      </c>
      <c r="E1281" s="248" t="s">
        <v>2357</v>
      </c>
      <c r="F1281" s="248" t="s">
        <v>2327</v>
      </c>
      <c r="G1281" s="248" t="s">
        <v>34</v>
      </c>
      <c r="H1281" s="257" t="s">
        <v>2337</v>
      </c>
      <c r="I1281" s="248"/>
      <c r="J1281" s="248"/>
      <c r="K1281" s="249"/>
      <c r="L1281" s="248"/>
      <c r="M1281" s="249"/>
      <c r="N1281" s="249"/>
      <c r="O1281" s="249"/>
      <c r="P1281" s="249"/>
      <c r="Q1281" s="249"/>
      <c r="R1281" s="249"/>
      <c r="S1281" s="249"/>
      <c r="T1281" s="249"/>
      <c r="U1281" s="249"/>
      <c r="V1281" s="249"/>
    </row>
    <row r="1282">
      <c r="A1282" s="255" t="s">
        <v>2408</v>
      </c>
      <c r="B1282" s="248">
        <v>2024.0</v>
      </c>
      <c r="C1282" s="248" t="s">
        <v>2343</v>
      </c>
      <c r="D1282" s="248" t="s">
        <v>2325</v>
      </c>
      <c r="E1282" s="248" t="s">
        <v>2344</v>
      </c>
      <c r="F1282" s="248" t="s">
        <v>2336</v>
      </c>
      <c r="G1282" s="248" t="s">
        <v>34</v>
      </c>
      <c r="H1282" s="257" t="s">
        <v>2333</v>
      </c>
      <c r="I1282" s="248"/>
      <c r="J1282" s="248"/>
      <c r="K1282" s="249"/>
      <c r="L1282" s="248"/>
      <c r="M1282" s="249"/>
      <c r="N1282" s="249"/>
      <c r="O1282" s="249"/>
      <c r="P1282" s="249"/>
      <c r="Q1282" s="249"/>
      <c r="R1282" s="249"/>
      <c r="S1282" s="249"/>
      <c r="T1282" s="249"/>
      <c r="U1282" s="249"/>
      <c r="V1282" s="249"/>
    </row>
    <row r="1283">
      <c r="A1283" s="255" t="s">
        <v>2409</v>
      </c>
      <c r="B1283" s="248">
        <v>2024.0</v>
      </c>
      <c r="C1283" s="248" t="s">
        <v>2330</v>
      </c>
      <c r="D1283" s="248" t="s">
        <v>2331</v>
      </c>
      <c r="E1283" s="248" t="s">
        <v>2335</v>
      </c>
      <c r="F1283" s="248" t="s">
        <v>2327</v>
      </c>
      <c r="G1283" s="248" t="s">
        <v>34</v>
      </c>
      <c r="H1283" s="257" t="s">
        <v>2328</v>
      </c>
      <c r="I1283" s="248"/>
      <c r="J1283" s="248"/>
      <c r="K1283" s="249"/>
      <c r="L1283" s="248"/>
      <c r="M1283" s="249"/>
      <c r="N1283" s="249"/>
      <c r="O1283" s="249"/>
      <c r="P1283" s="249"/>
      <c r="Q1283" s="249"/>
      <c r="R1283" s="249"/>
      <c r="S1283" s="249"/>
      <c r="T1283" s="249"/>
      <c r="U1283" s="249"/>
      <c r="V1283" s="249"/>
    </row>
    <row r="1284">
      <c r="A1284" s="255" t="s">
        <v>2410</v>
      </c>
      <c r="B1284" s="248">
        <v>2024.0</v>
      </c>
      <c r="C1284" s="248" t="s">
        <v>2343</v>
      </c>
      <c r="D1284" s="248" t="s">
        <v>2325</v>
      </c>
      <c r="E1284" s="248" t="s">
        <v>2391</v>
      </c>
      <c r="F1284" s="248" t="s">
        <v>2327</v>
      </c>
      <c r="G1284" s="248" t="s">
        <v>34</v>
      </c>
      <c r="H1284" s="257" t="s">
        <v>2340</v>
      </c>
      <c r="I1284" s="248"/>
      <c r="J1284" s="248"/>
      <c r="K1284" s="249"/>
      <c r="L1284" s="248"/>
      <c r="M1284" s="249"/>
      <c r="N1284" s="249"/>
      <c r="O1284" s="249"/>
      <c r="P1284" s="249"/>
      <c r="Q1284" s="249"/>
      <c r="R1284" s="249"/>
      <c r="S1284" s="249"/>
      <c r="T1284" s="249"/>
      <c r="U1284" s="249"/>
      <c r="V1284" s="249"/>
    </row>
    <row r="1285">
      <c r="A1285" s="255" t="s">
        <v>2411</v>
      </c>
      <c r="B1285" s="248">
        <v>2024.0</v>
      </c>
      <c r="C1285" s="248" t="s">
        <v>2324</v>
      </c>
      <c r="D1285" s="248" t="s">
        <v>2331</v>
      </c>
      <c r="E1285" s="248" t="s">
        <v>2357</v>
      </c>
      <c r="F1285" s="248" t="s">
        <v>2327</v>
      </c>
      <c r="G1285" s="248" t="s">
        <v>34</v>
      </c>
      <c r="H1285" s="257" t="s">
        <v>2340</v>
      </c>
      <c r="I1285" s="248"/>
      <c r="J1285" s="248"/>
      <c r="K1285" s="249"/>
      <c r="L1285" s="248"/>
      <c r="M1285" s="249"/>
      <c r="N1285" s="249"/>
      <c r="O1285" s="249"/>
      <c r="P1285" s="249"/>
      <c r="Q1285" s="249"/>
      <c r="R1285" s="249"/>
      <c r="S1285" s="249"/>
      <c r="T1285" s="249"/>
      <c r="U1285" s="249"/>
      <c r="V1285" s="249"/>
    </row>
    <row r="1286">
      <c r="A1286" s="255" t="s">
        <v>2412</v>
      </c>
      <c r="B1286" s="248">
        <v>2024.0</v>
      </c>
      <c r="C1286" s="248" t="s">
        <v>2343</v>
      </c>
      <c r="D1286" s="248" t="s">
        <v>2325</v>
      </c>
      <c r="E1286" s="248" t="s">
        <v>2347</v>
      </c>
      <c r="F1286" s="248" t="s">
        <v>2336</v>
      </c>
      <c r="G1286" s="248" t="s">
        <v>34</v>
      </c>
      <c r="H1286" s="257" t="s">
        <v>2337</v>
      </c>
      <c r="I1286" s="248"/>
      <c r="J1286" s="248"/>
      <c r="K1286" s="249"/>
      <c r="L1286" s="248"/>
      <c r="M1286" s="249"/>
      <c r="N1286" s="249"/>
      <c r="O1286" s="249"/>
      <c r="P1286" s="249"/>
      <c r="Q1286" s="249"/>
      <c r="R1286" s="249"/>
      <c r="S1286" s="249"/>
      <c r="T1286" s="249"/>
      <c r="U1286" s="249"/>
      <c r="V1286" s="249"/>
    </row>
    <row r="1287">
      <c r="A1287" s="255" t="s">
        <v>2413</v>
      </c>
      <c r="B1287" s="248">
        <v>2024.0</v>
      </c>
      <c r="C1287" s="248" t="s">
        <v>2324</v>
      </c>
      <c r="D1287" s="248" t="s">
        <v>2331</v>
      </c>
      <c r="E1287" s="248" t="s">
        <v>2394</v>
      </c>
      <c r="F1287" s="248" t="s">
        <v>2327</v>
      </c>
      <c r="G1287" s="248" t="s">
        <v>34</v>
      </c>
      <c r="H1287" s="257" t="s">
        <v>2340</v>
      </c>
      <c r="I1287" s="248"/>
      <c r="J1287" s="248"/>
      <c r="K1287" s="249"/>
      <c r="L1287" s="248"/>
      <c r="M1287" s="249"/>
      <c r="N1287" s="249"/>
      <c r="O1287" s="249"/>
      <c r="P1287" s="249"/>
      <c r="Q1287" s="249"/>
      <c r="R1287" s="249"/>
      <c r="S1287" s="249"/>
      <c r="T1287" s="249"/>
      <c r="U1287" s="249"/>
      <c r="V1287" s="249"/>
    </row>
    <row r="1288">
      <c r="A1288" s="255" t="s">
        <v>2414</v>
      </c>
      <c r="B1288" s="248">
        <v>2024.0</v>
      </c>
      <c r="C1288" s="248" t="s">
        <v>2324</v>
      </c>
      <c r="D1288" s="248" t="s">
        <v>2325</v>
      </c>
      <c r="E1288" s="248" t="s">
        <v>2326</v>
      </c>
      <c r="F1288" s="248" t="s">
        <v>2327</v>
      </c>
      <c r="G1288" s="248" t="s">
        <v>34</v>
      </c>
      <c r="H1288" s="257" t="s">
        <v>2337</v>
      </c>
      <c r="I1288" s="248"/>
      <c r="J1288" s="248"/>
      <c r="K1288" s="249"/>
      <c r="L1288" s="248"/>
      <c r="M1288" s="249"/>
      <c r="N1288" s="249"/>
      <c r="O1288" s="249"/>
      <c r="P1288" s="249"/>
      <c r="Q1288" s="249"/>
      <c r="R1288" s="249"/>
      <c r="S1288" s="249"/>
      <c r="T1288" s="249"/>
      <c r="U1288" s="249"/>
      <c r="V1288" s="249"/>
    </row>
    <row r="1289">
      <c r="A1289" s="255" t="s">
        <v>2415</v>
      </c>
      <c r="B1289" s="248">
        <v>2024.0</v>
      </c>
      <c r="C1289" s="248" t="s">
        <v>2330</v>
      </c>
      <c r="D1289" s="248" t="s">
        <v>2331</v>
      </c>
      <c r="E1289" s="248" t="s">
        <v>2357</v>
      </c>
      <c r="F1289" s="248" t="s">
        <v>2327</v>
      </c>
      <c r="G1289" s="248" t="s">
        <v>34</v>
      </c>
      <c r="H1289" s="257" t="s">
        <v>2333</v>
      </c>
      <c r="I1289" s="248"/>
      <c r="J1289" s="248"/>
      <c r="K1289" s="249"/>
      <c r="L1289" s="248"/>
      <c r="M1289" s="249"/>
      <c r="N1289" s="249"/>
      <c r="O1289" s="249"/>
      <c r="P1289" s="249"/>
      <c r="Q1289" s="249"/>
      <c r="R1289" s="249"/>
      <c r="S1289" s="249"/>
      <c r="T1289" s="249"/>
      <c r="U1289" s="249"/>
      <c r="V1289" s="249"/>
    </row>
    <row r="1290">
      <c r="A1290" s="255" t="s">
        <v>2416</v>
      </c>
      <c r="B1290" s="248">
        <v>2024.0</v>
      </c>
      <c r="C1290" s="248" t="s">
        <v>2349</v>
      </c>
      <c r="D1290" s="248" t="s">
        <v>2325</v>
      </c>
      <c r="E1290" s="248" t="s">
        <v>2326</v>
      </c>
      <c r="F1290" s="248" t="s">
        <v>2370</v>
      </c>
      <c r="G1290" s="248" t="s">
        <v>34</v>
      </c>
      <c r="H1290" s="257" t="s">
        <v>2340</v>
      </c>
      <c r="I1290" s="248"/>
      <c r="J1290" s="248"/>
      <c r="K1290" s="249"/>
      <c r="L1290" s="248"/>
      <c r="M1290" s="249"/>
      <c r="N1290" s="249"/>
      <c r="O1290" s="249"/>
      <c r="P1290" s="249"/>
      <c r="Q1290" s="249"/>
      <c r="R1290" s="249"/>
      <c r="S1290" s="249"/>
      <c r="T1290" s="249"/>
      <c r="U1290" s="249"/>
      <c r="V1290" s="249"/>
    </row>
    <row r="1291">
      <c r="A1291" s="255" t="s">
        <v>2417</v>
      </c>
      <c r="B1291" s="248">
        <v>2024.0</v>
      </c>
      <c r="C1291" s="248" t="s">
        <v>2324</v>
      </c>
      <c r="D1291" s="248" t="s">
        <v>2331</v>
      </c>
      <c r="E1291" s="248" t="s">
        <v>2394</v>
      </c>
      <c r="F1291" s="248" t="s">
        <v>2327</v>
      </c>
      <c r="G1291" s="248" t="s">
        <v>34</v>
      </c>
      <c r="H1291" s="257" t="s">
        <v>2328</v>
      </c>
      <c r="I1291" s="248"/>
      <c r="J1291" s="248"/>
      <c r="K1291" s="249"/>
      <c r="L1291" s="248"/>
      <c r="M1291" s="249"/>
      <c r="N1291" s="249"/>
      <c r="O1291" s="249"/>
      <c r="P1291" s="249"/>
      <c r="Q1291" s="249"/>
      <c r="R1291" s="249"/>
      <c r="S1291" s="249"/>
      <c r="T1291" s="249"/>
      <c r="U1291" s="249"/>
      <c r="V1291" s="249"/>
    </row>
    <row r="1292">
      <c r="A1292" s="255" t="s">
        <v>2418</v>
      </c>
      <c r="B1292" s="248">
        <v>2024.0</v>
      </c>
      <c r="C1292" s="248" t="s">
        <v>2324</v>
      </c>
      <c r="D1292" s="248" t="s">
        <v>2331</v>
      </c>
      <c r="E1292" s="248" t="s">
        <v>2332</v>
      </c>
      <c r="F1292" s="248" t="s">
        <v>2336</v>
      </c>
      <c r="G1292" s="248" t="s">
        <v>34</v>
      </c>
      <c r="H1292" s="257" t="s">
        <v>2340</v>
      </c>
      <c r="I1292" s="248"/>
      <c r="J1292" s="248"/>
      <c r="K1292" s="249"/>
      <c r="L1292" s="248"/>
      <c r="M1292" s="249"/>
      <c r="N1292" s="249"/>
      <c r="O1292" s="249"/>
      <c r="P1292" s="249"/>
      <c r="Q1292" s="249"/>
      <c r="R1292" s="249"/>
      <c r="S1292" s="249"/>
      <c r="T1292" s="249"/>
      <c r="U1292" s="249"/>
      <c r="V1292" s="249"/>
    </row>
    <row r="1293">
      <c r="A1293" s="255" t="s">
        <v>2419</v>
      </c>
      <c r="B1293" s="248">
        <v>2024.0</v>
      </c>
      <c r="C1293" s="248" t="s">
        <v>2330</v>
      </c>
      <c r="D1293" s="248" t="s">
        <v>2331</v>
      </c>
      <c r="E1293" s="248" t="s">
        <v>2335</v>
      </c>
      <c r="F1293" s="248" t="s">
        <v>2336</v>
      </c>
      <c r="G1293" s="248" t="s">
        <v>34</v>
      </c>
      <c r="H1293" s="257" t="s">
        <v>2337</v>
      </c>
      <c r="I1293" s="248"/>
      <c r="J1293" s="248"/>
      <c r="K1293" s="249"/>
      <c r="L1293" s="248"/>
      <c r="M1293" s="249"/>
      <c r="N1293" s="249"/>
      <c r="O1293" s="249"/>
      <c r="P1293" s="249"/>
      <c r="Q1293" s="249"/>
      <c r="R1293" s="249"/>
      <c r="S1293" s="249"/>
      <c r="T1293" s="249"/>
      <c r="U1293" s="249"/>
      <c r="V1293" s="249"/>
    </row>
    <row r="1294">
      <c r="A1294" s="255" t="s">
        <v>2420</v>
      </c>
      <c r="B1294" s="248">
        <v>2024.0</v>
      </c>
      <c r="C1294" s="248" t="s">
        <v>2324</v>
      </c>
      <c r="D1294" s="248" t="s">
        <v>2325</v>
      </c>
      <c r="E1294" s="248" t="s">
        <v>2326</v>
      </c>
      <c r="F1294" s="248" t="s">
        <v>2327</v>
      </c>
      <c r="G1294" s="248" t="s">
        <v>34</v>
      </c>
      <c r="H1294" s="257" t="s">
        <v>2340</v>
      </c>
      <c r="I1294" s="248"/>
      <c r="J1294" s="248"/>
      <c r="K1294" s="249"/>
      <c r="L1294" s="248"/>
      <c r="M1294" s="249"/>
      <c r="N1294" s="249"/>
      <c r="O1294" s="249"/>
      <c r="P1294" s="249"/>
      <c r="Q1294" s="249"/>
      <c r="R1294" s="249"/>
      <c r="S1294" s="249"/>
      <c r="T1294" s="249"/>
      <c r="U1294" s="249"/>
      <c r="V1294" s="249"/>
    </row>
    <row r="1295">
      <c r="A1295" s="255" t="s">
        <v>2421</v>
      </c>
      <c r="B1295" s="248">
        <v>2024.0</v>
      </c>
      <c r="C1295" s="248" t="s">
        <v>2324</v>
      </c>
      <c r="D1295" s="248" t="s">
        <v>2331</v>
      </c>
      <c r="E1295" s="248" t="s">
        <v>2332</v>
      </c>
      <c r="F1295" s="248" t="s">
        <v>2327</v>
      </c>
      <c r="G1295" s="248" t="s">
        <v>34</v>
      </c>
      <c r="H1295" s="257" t="s">
        <v>2340</v>
      </c>
      <c r="I1295" s="248"/>
      <c r="J1295" s="248"/>
      <c r="K1295" s="249"/>
      <c r="L1295" s="248"/>
      <c r="M1295" s="249"/>
      <c r="N1295" s="249"/>
      <c r="O1295" s="249"/>
      <c r="P1295" s="249"/>
      <c r="Q1295" s="249"/>
      <c r="R1295" s="249"/>
      <c r="S1295" s="249"/>
      <c r="T1295" s="249"/>
      <c r="U1295" s="249"/>
      <c r="V1295" s="249"/>
    </row>
    <row r="1296">
      <c r="A1296" s="255" t="s">
        <v>2422</v>
      </c>
      <c r="B1296" s="248">
        <v>2024.0</v>
      </c>
      <c r="C1296" s="248" t="s">
        <v>2324</v>
      </c>
      <c r="D1296" s="248" t="s">
        <v>2325</v>
      </c>
      <c r="E1296" s="248" t="s">
        <v>2347</v>
      </c>
      <c r="F1296" s="248" t="s">
        <v>2327</v>
      </c>
      <c r="G1296" s="248" t="s">
        <v>34</v>
      </c>
      <c r="H1296" s="257" t="s">
        <v>2337</v>
      </c>
      <c r="I1296" s="248"/>
      <c r="J1296" s="248"/>
      <c r="K1296" s="249"/>
      <c r="L1296" s="248"/>
      <c r="M1296" s="249"/>
      <c r="N1296" s="249"/>
      <c r="O1296" s="249"/>
      <c r="P1296" s="249"/>
      <c r="Q1296" s="249"/>
      <c r="R1296" s="249"/>
      <c r="S1296" s="249"/>
      <c r="T1296" s="249"/>
      <c r="U1296" s="249"/>
      <c r="V1296" s="249"/>
    </row>
    <row r="1297">
      <c r="A1297" s="255" t="s">
        <v>2423</v>
      </c>
      <c r="B1297" s="248">
        <v>2024.0</v>
      </c>
      <c r="C1297" s="248" t="s">
        <v>2324</v>
      </c>
      <c r="D1297" s="248" t="s">
        <v>2331</v>
      </c>
      <c r="E1297" s="248" t="s">
        <v>2332</v>
      </c>
      <c r="F1297" s="248" t="s">
        <v>2327</v>
      </c>
      <c r="G1297" s="248" t="s">
        <v>34</v>
      </c>
      <c r="H1297" s="257" t="s">
        <v>2340</v>
      </c>
      <c r="I1297" s="248"/>
      <c r="J1297" s="248"/>
      <c r="K1297" s="249"/>
      <c r="L1297" s="248"/>
      <c r="M1297" s="249"/>
      <c r="N1297" s="249"/>
      <c r="O1297" s="249"/>
      <c r="P1297" s="249"/>
      <c r="Q1297" s="249"/>
      <c r="R1297" s="249"/>
      <c r="S1297" s="249"/>
      <c r="T1297" s="249"/>
      <c r="U1297" s="249"/>
      <c r="V1297" s="249"/>
    </row>
    <row r="1298">
      <c r="A1298" s="255" t="s">
        <v>2424</v>
      </c>
      <c r="B1298" s="248">
        <v>2024.0</v>
      </c>
      <c r="C1298" s="248" t="s">
        <v>2324</v>
      </c>
      <c r="D1298" s="248" t="s">
        <v>2331</v>
      </c>
      <c r="E1298" s="248" t="s">
        <v>2335</v>
      </c>
      <c r="F1298" s="248" t="s">
        <v>2327</v>
      </c>
      <c r="G1298" s="248" t="s">
        <v>34</v>
      </c>
      <c r="H1298" s="257" t="s">
        <v>2340</v>
      </c>
      <c r="I1298" s="248"/>
      <c r="J1298" s="248"/>
      <c r="K1298" s="249"/>
      <c r="L1298" s="248"/>
      <c r="M1298" s="249"/>
      <c r="N1298" s="249"/>
      <c r="O1298" s="249"/>
      <c r="P1298" s="249"/>
      <c r="Q1298" s="249"/>
      <c r="R1298" s="249"/>
      <c r="S1298" s="249"/>
      <c r="T1298" s="249"/>
      <c r="U1298" s="249"/>
      <c r="V1298" s="249"/>
    </row>
    <row r="1299">
      <c r="A1299" s="255" t="s">
        <v>2425</v>
      </c>
      <c r="B1299" s="248">
        <v>2024.0</v>
      </c>
      <c r="C1299" s="248" t="s">
        <v>2324</v>
      </c>
      <c r="D1299" s="248" t="s">
        <v>2325</v>
      </c>
      <c r="E1299" s="248" t="s">
        <v>2347</v>
      </c>
      <c r="F1299" s="248" t="s">
        <v>2327</v>
      </c>
      <c r="G1299" s="248" t="s">
        <v>34</v>
      </c>
      <c r="H1299" s="257" t="s">
        <v>2337</v>
      </c>
      <c r="I1299" s="248"/>
      <c r="J1299" s="248"/>
      <c r="K1299" s="249"/>
      <c r="L1299" s="248"/>
      <c r="M1299" s="249"/>
      <c r="N1299" s="249"/>
      <c r="O1299" s="249"/>
      <c r="P1299" s="249"/>
      <c r="Q1299" s="249"/>
      <c r="R1299" s="249"/>
      <c r="S1299" s="249"/>
      <c r="T1299" s="249"/>
      <c r="U1299" s="249"/>
      <c r="V1299" s="249"/>
    </row>
    <row r="1300">
      <c r="A1300" s="255" t="s">
        <v>2426</v>
      </c>
      <c r="B1300" s="248">
        <v>2024.0</v>
      </c>
      <c r="C1300" s="248" t="s">
        <v>2343</v>
      </c>
      <c r="D1300" s="248" t="s">
        <v>2325</v>
      </c>
      <c r="E1300" s="248" t="s">
        <v>2347</v>
      </c>
      <c r="F1300" s="248" t="s">
        <v>2327</v>
      </c>
      <c r="G1300" s="248" t="s">
        <v>34</v>
      </c>
      <c r="H1300" s="257" t="s">
        <v>2340</v>
      </c>
      <c r="I1300" s="248"/>
      <c r="J1300" s="248"/>
      <c r="K1300" s="249"/>
      <c r="L1300" s="248"/>
      <c r="M1300" s="249"/>
      <c r="N1300" s="249"/>
      <c r="O1300" s="249"/>
      <c r="P1300" s="249"/>
      <c r="Q1300" s="249"/>
      <c r="R1300" s="249"/>
      <c r="S1300" s="249"/>
      <c r="T1300" s="249"/>
      <c r="U1300" s="249"/>
      <c r="V1300" s="249"/>
    </row>
    <row r="1301">
      <c r="A1301" s="255" t="s">
        <v>2427</v>
      </c>
      <c r="B1301" s="248">
        <v>2024.0</v>
      </c>
      <c r="C1301" s="248" t="s">
        <v>2343</v>
      </c>
      <c r="D1301" s="248" t="s">
        <v>2325</v>
      </c>
      <c r="E1301" s="248" t="s">
        <v>2347</v>
      </c>
      <c r="F1301" s="248" t="s">
        <v>2327</v>
      </c>
      <c r="G1301" s="248" t="s">
        <v>34</v>
      </c>
      <c r="H1301" s="257" t="s">
        <v>2340</v>
      </c>
      <c r="I1301" s="248"/>
      <c r="J1301" s="248"/>
      <c r="K1301" s="249"/>
      <c r="L1301" s="248"/>
      <c r="M1301" s="249"/>
      <c r="N1301" s="249"/>
      <c r="O1301" s="249"/>
      <c r="P1301" s="249"/>
      <c r="Q1301" s="249"/>
      <c r="R1301" s="249"/>
      <c r="S1301" s="249"/>
      <c r="T1301" s="249"/>
      <c r="U1301" s="249"/>
      <c r="V1301" s="249"/>
    </row>
    <row r="1302">
      <c r="A1302" s="255" t="s">
        <v>2428</v>
      </c>
      <c r="B1302" s="248">
        <v>2024.0</v>
      </c>
      <c r="C1302" s="248" t="s">
        <v>2343</v>
      </c>
      <c r="D1302" s="248" t="s">
        <v>2325</v>
      </c>
      <c r="E1302" s="248" t="s">
        <v>2347</v>
      </c>
      <c r="F1302" s="248" t="s">
        <v>2327</v>
      </c>
      <c r="G1302" s="248" t="s">
        <v>34</v>
      </c>
      <c r="H1302" s="257" t="s">
        <v>2328</v>
      </c>
      <c r="I1302" s="248"/>
      <c r="J1302" s="248"/>
      <c r="K1302" s="249"/>
      <c r="L1302" s="248"/>
      <c r="M1302" s="249"/>
      <c r="N1302" s="249"/>
      <c r="O1302" s="249"/>
      <c r="P1302" s="249"/>
      <c r="Q1302" s="249"/>
      <c r="R1302" s="249"/>
      <c r="S1302" s="249"/>
      <c r="T1302" s="249"/>
      <c r="U1302" s="249"/>
      <c r="V1302" s="249"/>
    </row>
    <row r="1303">
      <c r="A1303" s="255" t="s">
        <v>2429</v>
      </c>
      <c r="B1303" s="248">
        <v>2024.0</v>
      </c>
      <c r="C1303" s="248" t="s">
        <v>2324</v>
      </c>
      <c r="D1303" s="248" t="s">
        <v>2331</v>
      </c>
      <c r="E1303" s="248" t="s">
        <v>2362</v>
      </c>
      <c r="F1303" s="248" t="s">
        <v>2327</v>
      </c>
      <c r="G1303" s="248" t="s">
        <v>34</v>
      </c>
      <c r="H1303" s="257" t="s">
        <v>2328</v>
      </c>
      <c r="I1303" s="248"/>
      <c r="J1303" s="248"/>
      <c r="K1303" s="249"/>
      <c r="L1303" s="248"/>
      <c r="M1303" s="249"/>
      <c r="N1303" s="249"/>
      <c r="O1303" s="249"/>
      <c r="P1303" s="249"/>
      <c r="Q1303" s="249"/>
      <c r="R1303" s="249"/>
      <c r="S1303" s="249"/>
      <c r="T1303" s="249"/>
      <c r="U1303" s="249"/>
      <c r="V1303" s="249"/>
    </row>
    <row r="1304">
      <c r="A1304" s="255" t="s">
        <v>2430</v>
      </c>
      <c r="B1304" s="248">
        <v>2024.0</v>
      </c>
      <c r="C1304" s="248" t="s">
        <v>2349</v>
      </c>
      <c r="D1304" s="248" t="s">
        <v>2331</v>
      </c>
      <c r="E1304" s="248" t="s">
        <v>2332</v>
      </c>
      <c r="F1304" s="248" t="s">
        <v>2327</v>
      </c>
      <c r="G1304" s="248" t="s">
        <v>34</v>
      </c>
      <c r="H1304" s="257" t="s">
        <v>2333</v>
      </c>
      <c r="I1304" s="248"/>
      <c r="J1304" s="248"/>
      <c r="K1304" s="249"/>
      <c r="L1304" s="248"/>
      <c r="M1304" s="249"/>
      <c r="N1304" s="249"/>
      <c r="O1304" s="249"/>
      <c r="P1304" s="249"/>
      <c r="Q1304" s="249"/>
      <c r="R1304" s="249"/>
      <c r="S1304" s="249"/>
      <c r="T1304" s="249"/>
      <c r="U1304" s="249"/>
      <c r="V1304" s="249"/>
    </row>
    <row r="1305">
      <c r="A1305" s="255" t="s">
        <v>2431</v>
      </c>
      <c r="B1305" s="248">
        <v>2024.0</v>
      </c>
      <c r="C1305" s="248" t="s">
        <v>2349</v>
      </c>
      <c r="D1305" s="248" t="s">
        <v>2331</v>
      </c>
      <c r="E1305" s="248" t="s">
        <v>2335</v>
      </c>
      <c r="F1305" s="248" t="s">
        <v>2327</v>
      </c>
      <c r="G1305" s="248" t="s">
        <v>34</v>
      </c>
      <c r="H1305" s="257" t="s">
        <v>2340</v>
      </c>
      <c r="I1305" s="248"/>
      <c r="J1305" s="248"/>
      <c r="K1305" s="249"/>
      <c r="L1305" s="248"/>
      <c r="M1305" s="249"/>
      <c r="N1305" s="249"/>
      <c r="O1305" s="249"/>
      <c r="P1305" s="249"/>
      <c r="Q1305" s="249"/>
      <c r="R1305" s="249"/>
      <c r="S1305" s="249"/>
      <c r="T1305" s="249"/>
      <c r="U1305" s="249"/>
      <c r="V1305" s="249"/>
    </row>
    <row r="1306">
      <c r="A1306" s="255" t="s">
        <v>2432</v>
      </c>
      <c r="B1306" s="248">
        <v>2024.0</v>
      </c>
      <c r="C1306" s="248" t="s">
        <v>2343</v>
      </c>
      <c r="D1306" s="248" t="s">
        <v>2325</v>
      </c>
      <c r="E1306" s="248" t="s">
        <v>2347</v>
      </c>
      <c r="F1306" s="248" t="s">
        <v>2336</v>
      </c>
      <c r="G1306" s="248" t="s">
        <v>34</v>
      </c>
      <c r="H1306" s="257" t="s">
        <v>2340</v>
      </c>
      <c r="I1306" s="248"/>
      <c r="J1306" s="248"/>
      <c r="K1306" s="249"/>
      <c r="L1306" s="248"/>
      <c r="M1306" s="249"/>
      <c r="N1306" s="249"/>
      <c r="O1306" s="249"/>
      <c r="P1306" s="249"/>
      <c r="Q1306" s="249"/>
      <c r="R1306" s="249"/>
      <c r="S1306" s="249"/>
      <c r="T1306" s="249"/>
      <c r="U1306" s="249"/>
      <c r="V1306" s="249"/>
    </row>
    <row r="1307">
      <c r="A1307" s="255" t="s">
        <v>2433</v>
      </c>
      <c r="B1307" s="248">
        <v>2024.0</v>
      </c>
      <c r="C1307" s="248" t="s">
        <v>2349</v>
      </c>
      <c r="D1307" s="248" t="s">
        <v>2331</v>
      </c>
      <c r="E1307" s="248" t="s">
        <v>2332</v>
      </c>
      <c r="F1307" s="248" t="s">
        <v>2327</v>
      </c>
      <c r="G1307" s="248" t="s">
        <v>34</v>
      </c>
      <c r="H1307" s="257" t="s">
        <v>2333</v>
      </c>
      <c r="I1307" s="248"/>
      <c r="J1307" s="248"/>
      <c r="K1307" s="249"/>
      <c r="L1307" s="248"/>
      <c r="M1307" s="249"/>
      <c r="N1307" s="249"/>
      <c r="O1307" s="249"/>
      <c r="P1307" s="249"/>
      <c r="Q1307" s="249"/>
      <c r="R1307" s="249"/>
      <c r="S1307" s="249"/>
      <c r="T1307" s="249"/>
      <c r="U1307" s="249"/>
      <c r="V1307" s="249"/>
    </row>
    <row r="1308">
      <c r="A1308" s="255" t="s">
        <v>2434</v>
      </c>
      <c r="B1308" s="248">
        <v>2024.0</v>
      </c>
      <c r="C1308" s="248" t="s">
        <v>2343</v>
      </c>
      <c r="D1308" s="248" t="s">
        <v>2325</v>
      </c>
      <c r="E1308" s="248" t="s">
        <v>2347</v>
      </c>
      <c r="F1308" s="248" t="s">
        <v>2327</v>
      </c>
      <c r="G1308" s="248" t="s">
        <v>34</v>
      </c>
      <c r="H1308" s="257" t="s">
        <v>2337</v>
      </c>
      <c r="I1308" s="248"/>
      <c r="J1308" s="248"/>
      <c r="K1308" s="249"/>
      <c r="L1308" s="248"/>
      <c r="M1308" s="249"/>
      <c r="N1308" s="249"/>
      <c r="O1308" s="249"/>
      <c r="P1308" s="249"/>
      <c r="Q1308" s="249"/>
      <c r="R1308" s="249"/>
      <c r="S1308" s="249"/>
      <c r="T1308" s="249"/>
      <c r="U1308" s="249"/>
      <c r="V1308" s="249"/>
    </row>
    <row r="1309">
      <c r="A1309" s="255" t="s">
        <v>2435</v>
      </c>
      <c r="B1309" s="248">
        <v>2024.0</v>
      </c>
      <c r="C1309" s="248" t="s">
        <v>2324</v>
      </c>
      <c r="D1309" s="248" t="s">
        <v>2331</v>
      </c>
      <c r="E1309" s="248" t="s">
        <v>2332</v>
      </c>
      <c r="F1309" s="248" t="s">
        <v>2327</v>
      </c>
      <c r="G1309" s="248" t="s">
        <v>34</v>
      </c>
      <c r="H1309" s="257" t="s">
        <v>2337</v>
      </c>
      <c r="I1309" s="248"/>
      <c r="J1309" s="248"/>
      <c r="K1309" s="249"/>
      <c r="L1309" s="248"/>
      <c r="M1309" s="249"/>
      <c r="N1309" s="249"/>
      <c r="O1309" s="249"/>
      <c r="P1309" s="249"/>
      <c r="Q1309" s="249"/>
      <c r="R1309" s="249"/>
      <c r="S1309" s="249"/>
      <c r="T1309" s="249"/>
      <c r="U1309" s="249"/>
      <c r="V1309" s="249"/>
    </row>
    <row r="1310">
      <c r="A1310" s="255" t="s">
        <v>2436</v>
      </c>
      <c r="B1310" s="248">
        <v>2024.0</v>
      </c>
      <c r="C1310" s="248" t="s">
        <v>2324</v>
      </c>
      <c r="D1310" s="248" t="s">
        <v>2331</v>
      </c>
      <c r="E1310" s="248" t="s">
        <v>2332</v>
      </c>
      <c r="F1310" s="248" t="s">
        <v>2327</v>
      </c>
      <c r="G1310" s="248" t="s">
        <v>34</v>
      </c>
      <c r="H1310" s="257" t="s">
        <v>2337</v>
      </c>
      <c r="I1310" s="248"/>
      <c r="J1310" s="248"/>
      <c r="K1310" s="249"/>
      <c r="L1310" s="248"/>
      <c r="M1310" s="249"/>
      <c r="N1310" s="249"/>
      <c r="O1310" s="249"/>
      <c r="P1310" s="249"/>
      <c r="Q1310" s="249"/>
      <c r="R1310" s="249"/>
      <c r="S1310" s="249"/>
      <c r="T1310" s="249"/>
      <c r="U1310" s="249"/>
      <c r="V1310" s="249"/>
    </row>
    <row r="1311">
      <c r="A1311" s="255" t="s">
        <v>2437</v>
      </c>
      <c r="B1311" s="248">
        <v>2024.0</v>
      </c>
      <c r="C1311" s="248" t="s">
        <v>2343</v>
      </c>
      <c r="D1311" s="248" t="s">
        <v>2331</v>
      </c>
      <c r="E1311" s="248" t="s">
        <v>2332</v>
      </c>
      <c r="F1311" s="248" t="s">
        <v>2336</v>
      </c>
      <c r="G1311" s="248" t="s">
        <v>34</v>
      </c>
      <c r="H1311" s="257" t="s">
        <v>2337</v>
      </c>
      <c r="I1311" s="248"/>
      <c r="J1311" s="248"/>
      <c r="K1311" s="249"/>
      <c r="L1311" s="248"/>
      <c r="M1311" s="249"/>
      <c r="N1311" s="249"/>
      <c r="O1311" s="249"/>
      <c r="P1311" s="249"/>
      <c r="Q1311" s="249"/>
      <c r="R1311" s="249"/>
      <c r="S1311" s="249"/>
      <c r="T1311" s="249"/>
      <c r="U1311" s="249"/>
      <c r="V1311" s="249"/>
    </row>
    <row r="1312">
      <c r="A1312" s="255" t="s">
        <v>2438</v>
      </c>
      <c r="B1312" s="248">
        <v>2024.0</v>
      </c>
      <c r="C1312" s="248" t="s">
        <v>2343</v>
      </c>
      <c r="D1312" s="248" t="s">
        <v>2331</v>
      </c>
      <c r="E1312" s="248" t="s">
        <v>2332</v>
      </c>
      <c r="F1312" s="248" t="s">
        <v>2327</v>
      </c>
      <c r="G1312" s="248" t="s">
        <v>34</v>
      </c>
      <c r="H1312" s="257" t="s">
        <v>2337</v>
      </c>
      <c r="I1312" s="248"/>
      <c r="J1312" s="248"/>
      <c r="K1312" s="249"/>
      <c r="L1312" s="248"/>
      <c r="M1312" s="249"/>
      <c r="N1312" s="249"/>
      <c r="O1312" s="249"/>
      <c r="P1312" s="249"/>
      <c r="Q1312" s="249"/>
      <c r="R1312" s="249"/>
      <c r="S1312" s="249"/>
      <c r="T1312" s="249"/>
      <c r="U1312" s="249"/>
      <c r="V1312" s="249"/>
    </row>
    <row r="1313">
      <c r="A1313" s="255" t="s">
        <v>2439</v>
      </c>
      <c r="B1313" s="248">
        <v>2024.0</v>
      </c>
      <c r="C1313" s="248" t="s">
        <v>2343</v>
      </c>
      <c r="D1313" s="248" t="s">
        <v>2331</v>
      </c>
      <c r="E1313" s="248" t="s">
        <v>2332</v>
      </c>
      <c r="F1313" s="248" t="s">
        <v>2327</v>
      </c>
      <c r="G1313" s="248" t="s">
        <v>34</v>
      </c>
      <c r="H1313" s="257" t="s">
        <v>2337</v>
      </c>
      <c r="I1313" s="248"/>
      <c r="J1313" s="248"/>
      <c r="K1313" s="249"/>
      <c r="L1313" s="248"/>
      <c r="M1313" s="249"/>
      <c r="N1313" s="249"/>
      <c r="O1313" s="249"/>
      <c r="P1313" s="249"/>
      <c r="Q1313" s="249"/>
      <c r="R1313" s="249"/>
      <c r="S1313" s="249"/>
      <c r="T1313" s="249"/>
      <c r="U1313" s="249"/>
      <c r="V1313" s="249"/>
    </row>
    <row r="1314">
      <c r="A1314" s="255" t="s">
        <v>2440</v>
      </c>
      <c r="B1314" s="248">
        <v>2024.0</v>
      </c>
      <c r="C1314" s="248" t="s">
        <v>2343</v>
      </c>
      <c r="D1314" s="248" t="s">
        <v>2331</v>
      </c>
      <c r="E1314" s="248" t="s">
        <v>2332</v>
      </c>
      <c r="F1314" s="248" t="s">
        <v>2327</v>
      </c>
      <c r="G1314" s="248" t="s">
        <v>34</v>
      </c>
      <c r="H1314" s="257" t="s">
        <v>2337</v>
      </c>
      <c r="I1314" s="248"/>
      <c r="J1314" s="248"/>
      <c r="K1314" s="249"/>
      <c r="L1314" s="248"/>
      <c r="M1314" s="249"/>
      <c r="N1314" s="249"/>
      <c r="O1314" s="249"/>
      <c r="P1314" s="249"/>
      <c r="Q1314" s="249"/>
      <c r="R1314" s="249"/>
      <c r="S1314" s="249"/>
      <c r="T1314" s="249"/>
      <c r="U1314" s="249"/>
      <c r="V1314" s="249"/>
    </row>
    <row r="1315">
      <c r="A1315" s="255" t="s">
        <v>2441</v>
      </c>
      <c r="B1315" s="248">
        <v>2024.0</v>
      </c>
      <c r="C1315" s="248" t="s">
        <v>2343</v>
      </c>
      <c r="D1315" s="248" t="s">
        <v>2331</v>
      </c>
      <c r="E1315" s="248" t="s">
        <v>2332</v>
      </c>
      <c r="F1315" s="248" t="s">
        <v>2327</v>
      </c>
      <c r="G1315" s="248" t="s">
        <v>34</v>
      </c>
      <c r="H1315" s="257" t="s">
        <v>2337</v>
      </c>
      <c r="I1315" s="248"/>
      <c r="J1315" s="248"/>
      <c r="K1315" s="249"/>
      <c r="L1315" s="248"/>
      <c r="M1315" s="249"/>
      <c r="N1315" s="249"/>
      <c r="O1315" s="249"/>
      <c r="P1315" s="249"/>
      <c r="Q1315" s="249"/>
      <c r="R1315" s="249"/>
      <c r="S1315" s="249"/>
      <c r="T1315" s="249"/>
      <c r="U1315" s="249"/>
      <c r="V1315" s="249"/>
    </row>
    <row r="1316">
      <c r="A1316" s="255" t="s">
        <v>2442</v>
      </c>
      <c r="B1316" s="248">
        <v>2024.0</v>
      </c>
      <c r="C1316" s="248" t="s">
        <v>2343</v>
      </c>
      <c r="D1316" s="248" t="s">
        <v>2331</v>
      </c>
      <c r="E1316" s="248" t="s">
        <v>2332</v>
      </c>
      <c r="F1316" s="248" t="s">
        <v>2336</v>
      </c>
      <c r="G1316" s="248" t="s">
        <v>34</v>
      </c>
      <c r="H1316" s="257" t="s">
        <v>2337</v>
      </c>
      <c r="I1316" s="248"/>
      <c r="J1316" s="248"/>
      <c r="K1316" s="249"/>
      <c r="L1316" s="248"/>
      <c r="M1316" s="249"/>
      <c r="N1316" s="249"/>
      <c r="O1316" s="249"/>
      <c r="P1316" s="249"/>
      <c r="Q1316" s="249"/>
      <c r="R1316" s="249"/>
      <c r="S1316" s="249"/>
      <c r="T1316" s="249"/>
      <c r="U1316" s="249"/>
      <c r="V1316" s="249"/>
    </row>
    <row r="1317">
      <c r="A1317" s="255" t="s">
        <v>2443</v>
      </c>
      <c r="B1317" s="248">
        <v>2024.0</v>
      </c>
      <c r="C1317" s="248" t="s">
        <v>2343</v>
      </c>
      <c r="D1317" s="248" t="s">
        <v>2331</v>
      </c>
      <c r="E1317" s="248" t="s">
        <v>2332</v>
      </c>
      <c r="F1317" s="248" t="s">
        <v>2336</v>
      </c>
      <c r="G1317" s="248" t="s">
        <v>34</v>
      </c>
      <c r="H1317" s="257" t="s">
        <v>2337</v>
      </c>
      <c r="I1317" s="248"/>
      <c r="J1317" s="248"/>
      <c r="K1317" s="249"/>
      <c r="L1317" s="248"/>
      <c r="M1317" s="249"/>
      <c r="N1317" s="249"/>
      <c r="O1317" s="249"/>
      <c r="P1317" s="249"/>
      <c r="Q1317" s="249"/>
      <c r="R1317" s="249"/>
      <c r="S1317" s="249"/>
      <c r="T1317" s="249"/>
      <c r="U1317" s="249"/>
      <c r="V1317" s="249"/>
    </row>
    <row r="1318">
      <c r="A1318" s="255" t="s">
        <v>2444</v>
      </c>
      <c r="B1318" s="248">
        <v>2024.0</v>
      </c>
      <c r="C1318" s="248" t="s">
        <v>2343</v>
      </c>
      <c r="D1318" s="248" t="s">
        <v>2331</v>
      </c>
      <c r="E1318" s="248" t="s">
        <v>2332</v>
      </c>
      <c r="F1318" s="248" t="s">
        <v>2327</v>
      </c>
      <c r="G1318" s="248" t="s">
        <v>34</v>
      </c>
      <c r="H1318" s="257" t="s">
        <v>2337</v>
      </c>
      <c r="I1318" s="248"/>
      <c r="J1318" s="248"/>
      <c r="K1318" s="249"/>
      <c r="L1318" s="248"/>
      <c r="M1318" s="249"/>
      <c r="N1318" s="249"/>
      <c r="O1318" s="249"/>
      <c r="P1318" s="249"/>
      <c r="Q1318" s="249"/>
      <c r="R1318" s="249"/>
      <c r="S1318" s="249"/>
      <c r="T1318" s="249"/>
      <c r="U1318" s="249"/>
      <c r="V1318" s="249"/>
    </row>
    <row r="1319">
      <c r="A1319" s="255" t="s">
        <v>2445</v>
      </c>
      <c r="B1319" s="248">
        <v>2024.0</v>
      </c>
      <c r="C1319" s="248" t="s">
        <v>2343</v>
      </c>
      <c r="D1319" s="248" t="s">
        <v>2331</v>
      </c>
      <c r="E1319" s="248" t="s">
        <v>2332</v>
      </c>
      <c r="F1319" s="248" t="s">
        <v>2327</v>
      </c>
      <c r="G1319" s="248" t="s">
        <v>34</v>
      </c>
      <c r="H1319" s="257" t="s">
        <v>2337</v>
      </c>
      <c r="I1319" s="248"/>
      <c r="J1319" s="248"/>
      <c r="K1319" s="249"/>
      <c r="L1319" s="248"/>
      <c r="M1319" s="249"/>
      <c r="N1319" s="249"/>
      <c r="O1319" s="249"/>
      <c r="P1319" s="249"/>
      <c r="Q1319" s="249"/>
      <c r="R1319" s="249"/>
      <c r="S1319" s="249"/>
      <c r="T1319" s="249"/>
      <c r="U1319" s="249"/>
      <c r="V1319" s="249"/>
    </row>
    <row r="1320">
      <c r="A1320" s="255" t="s">
        <v>2446</v>
      </c>
      <c r="B1320" s="248">
        <v>2024.0</v>
      </c>
      <c r="C1320" s="248" t="s">
        <v>2343</v>
      </c>
      <c r="D1320" s="248" t="s">
        <v>2331</v>
      </c>
      <c r="E1320" s="248" t="s">
        <v>2447</v>
      </c>
      <c r="F1320" s="248" t="s">
        <v>2327</v>
      </c>
      <c r="G1320" s="248" t="s">
        <v>34</v>
      </c>
      <c r="H1320" s="257" t="s">
        <v>2337</v>
      </c>
      <c r="I1320" s="248"/>
      <c r="J1320" s="248"/>
      <c r="K1320" s="249"/>
      <c r="L1320" s="248"/>
      <c r="M1320" s="249"/>
      <c r="N1320" s="249"/>
      <c r="O1320" s="249"/>
      <c r="P1320" s="249"/>
      <c r="Q1320" s="249"/>
      <c r="R1320" s="249"/>
      <c r="S1320" s="249"/>
      <c r="T1320" s="249"/>
      <c r="U1320" s="249"/>
      <c r="V1320" s="249"/>
    </row>
    <row r="1321">
      <c r="A1321" s="255" t="s">
        <v>2448</v>
      </c>
      <c r="B1321" s="248">
        <v>2024.0</v>
      </c>
      <c r="C1321" s="248" t="s">
        <v>2343</v>
      </c>
      <c r="D1321" s="248" t="s">
        <v>2331</v>
      </c>
      <c r="E1321" s="248" t="s">
        <v>2332</v>
      </c>
      <c r="F1321" s="248" t="s">
        <v>2336</v>
      </c>
      <c r="G1321" s="248" t="s">
        <v>34</v>
      </c>
      <c r="H1321" s="257" t="s">
        <v>2337</v>
      </c>
      <c r="I1321" s="248"/>
      <c r="J1321" s="248"/>
      <c r="K1321" s="249"/>
      <c r="L1321" s="248"/>
      <c r="M1321" s="249"/>
      <c r="N1321" s="249"/>
      <c r="O1321" s="249"/>
      <c r="P1321" s="249"/>
      <c r="Q1321" s="249"/>
      <c r="R1321" s="249"/>
      <c r="S1321" s="249"/>
      <c r="T1321" s="249"/>
      <c r="U1321" s="249"/>
      <c r="V1321" s="249"/>
    </row>
    <row r="1322">
      <c r="A1322" s="255" t="s">
        <v>2449</v>
      </c>
      <c r="B1322" s="248">
        <v>2024.0</v>
      </c>
      <c r="C1322" s="248" t="s">
        <v>2343</v>
      </c>
      <c r="D1322" s="248" t="s">
        <v>2331</v>
      </c>
      <c r="E1322" s="248" t="s">
        <v>2332</v>
      </c>
      <c r="F1322" s="248" t="s">
        <v>2336</v>
      </c>
      <c r="G1322" s="248" t="s">
        <v>34</v>
      </c>
      <c r="H1322" s="257" t="s">
        <v>2337</v>
      </c>
      <c r="I1322" s="248"/>
      <c r="J1322" s="248"/>
      <c r="K1322" s="249"/>
      <c r="L1322" s="248"/>
      <c r="M1322" s="249"/>
      <c r="N1322" s="249"/>
      <c r="O1322" s="249"/>
      <c r="P1322" s="249"/>
      <c r="Q1322" s="249"/>
      <c r="R1322" s="249"/>
      <c r="S1322" s="249"/>
      <c r="T1322" s="249"/>
      <c r="U1322" s="249"/>
      <c r="V1322" s="249"/>
    </row>
    <row r="1323">
      <c r="A1323" s="255" t="s">
        <v>2450</v>
      </c>
      <c r="B1323" s="248">
        <v>2024.0</v>
      </c>
      <c r="C1323" s="248" t="s">
        <v>2343</v>
      </c>
      <c r="D1323" s="248" t="s">
        <v>2331</v>
      </c>
      <c r="E1323" s="248" t="s">
        <v>2332</v>
      </c>
      <c r="F1323" s="248" t="s">
        <v>2336</v>
      </c>
      <c r="G1323" s="248" t="s">
        <v>34</v>
      </c>
      <c r="H1323" s="257" t="s">
        <v>2337</v>
      </c>
      <c r="I1323" s="248"/>
      <c r="J1323" s="248"/>
      <c r="K1323" s="249"/>
      <c r="L1323" s="248"/>
      <c r="M1323" s="249"/>
      <c r="N1323" s="249"/>
      <c r="O1323" s="249"/>
      <c r="P1323" s="249"/>
      <c r="Q1323" s="249"/>
      <c r="R1323" s="249"/>
      <c r="S1323" s="249"/>
      <c r="T1323" s="249"/>
      <c r="U1323" s="249"/>
      <c r="V1323" s="249"/>
    </row>
    <row r="1324">
      <c r="A1324" s="255" t="s">
        <v>2451</v>
      </c>
      <c r="B1324" s="248">
        <v>2024.0</v>
      </c>
      <c r="C1324" s="248" t="s">
        <v>2343</v>
      </c>
      <c r="D1324" s="248" t="s">
        <v>2331</v>
      </c>
      <c r="E1324" s="248" t="s">
        <v>2332</v>
      </c>
      <c r="F1324" s="248" t="s">
        <v>2327</v>
      </c>
      <c r="G1324" s="248" t="s">
        <v>34</v>
      </c>
      <c r="H1324" s="257" t="s">
        <v>2337</v>
      </c>
      <c r="I1324" s="248"/>
      <c r="J1324" s="248"/>
      <c r="K1324" s="249"/>
      <c r="L1324" s="248"/>
      <c r="M1324" s="249"/>
      <c r="N1324" s="249"/>
      <c r="O1324" s="249"/>
      <c r="P1324" s="249"/>
      <c r="Q1324" s="249"/>
      <c r="R1324" s="249"/>
      <c r="S1324" s="249"/>
      <c r="T1324" s="249"/>
      <c r="U1324" s="249"/>
      <c r="V1324" s="249"/>
    </row>
    <row r="1325">
      <c r="A1325" s="255" t="s">
        <v>2452</v>
      </c>
      <c r="B1325" s="248">
        <v>2024.0</v>
      </c>
      <c r="C1325" s="248" t="s">
        <v>2343</v>
      </c>
      <c r="D1325" s="248" t="s">
        <v>2331</v>
      </c>
      <c r="E1325" s="248" t="s">
        <v>2332</v>
      </c>
      <c r="F1325" s="248" t="s">
        <v>2327</v>
      </c>
      <c r="G1325" s="248" t="s">
        <v>34</v>
      </c>
      <c r="H1325" s="257" t="s">
        <v>2337</v>
      </c>
      <c r="I1325" s="248"/>
      <c r="J1325" s="248"/>
      <c r="K1325" s="249"/>
      <c r="L1325" s="248"/>
      <c r="M1325" s="249"/>
      <c r="N1325" s="249"/>
      <c r="O1325" s="249"/>
      <c r="P1325" s="249"/>
      <c r="Q1325" s="249"/>
      <c r="R1325" s="249"/>
      <c r="S1325" s="249"/>
      <c r="T1325" s="249"/>
      <c r="U1325" s="249"/>
      <c r="V1325" s="249"/>
    </row>
    <row r="1326">
      <c r="A1326" s="255" t="s">
        <v>2453</v>
      </c>
      <c r="B1326" s="248">
        <v>2024.0</v>
      </c>
      <c r="C1326" s="248" t="s">
        <v>2343</v>
      </c>
      <c r="D1326" s="248" t="s">
        <v>2325</v>
      </c>
      <c r="E1326" s="248" t="s">
        <v>2344</v>
      </c>
      <c r="F1326" s="248" t="s">
        <v>2327</v>
      </c>
      <c r="G1326" s="248" t="s">
        <v>34</v>
      </c>
      <c r="H1326" s="257" t="s">
        <v>2337</v>
      </c>
      <c r="I1326" s="248"/>
      <c r="J1326" s="248"/>
      <c r="K1326" s="249"/>
      <c r="L1326" s="248"/>
      <c r="M1326" s="249"/>
      <c r="N1326" s="249"/>
      <c r="O1326" s="249"/>
      <c r="P1326" s="249"/>
      <c r="Q1326" s="249"/>
      <c r="R1326" s="249"/>
      <c r="S1326" s="249"/>
      <c r="T1326" s="249"/>
      <c r="U1326" s="249"/>
      <c r="V1326" s="249"/>
    </row>
    <row r="1327">
      <c r="A1327" s="255" t="s">
        <v>2454</v>
      </c>
      <c r="B1327" s="248">
        <v>2024.0</v>
      </c>
      <c r="C1327" s="248" t="s">
        <v>2343</v>
      </c>
      <c r="D1327" s="248" t="s">
        <v>2331</v>
      </c>
      <c r="E1327" s="248" t="s">
        <v>2332</v>
      </c>
      <c r="F1327" s="248" t="s">
        <v>2336</v>
      </c>
      <c r="G1327" s="248" t="s">
        <v>34</v>
      </c>
      <c r="H1327" s="257" t="s">
        <v>2337</v>
      </c>
      <c r="I1327" s="248"/>
      <c r="J1327" s="248"/>
      <c r="K1327" s="249"/>
      <c r="L1327" s="248"/>
      <c r="M1327" s="249"/>
      <c r="N1327" s="249"/>
      <c r="O1327" s="249"/>
      <c r="P1327" s="249"/>
      <c r="Q1327" s="249"/>
      <c r="R1327" s="249"/>
      <c r="S1327" s="249"/>
      <c r="T1327" s="249"/>
      <c r="U1327" s="249"/>
      <c r="V1327" s="249"/>
    </row>
    <row r="1328">
      <c r="A1328" s="255" t="s">
        <v>2455</v>
      </c>
      <c r="B1328" s="248">
        <v>2024.0</v>
      </c>
      <c r="C1328" s="248" t="s">
        <v>2343</v>
      </c>
      <c r="D1328" s="248" t="s">
        <v>2331</v>
      </c>
      <c r="E1328" s="248" t="s">
        <v>2332</v>
      </c>
      <c r="F1328" s="248" t="s">
        <v>2336</v>
      </c>
      <c r="G1328" s="248" t="s">
        <v>34</v>
      </c>
      <c r="H1328" s="257" t="s">
        <v>2337</v>
      </c>
      <c r="I1328" s="248"/>
      <c r="J1328" s="248"/>
      <c r="K1328" s="249"/>
      <c r="L1328" s="248"/>
      <c r="M1328" s="249"/>
      <c r="N1328" s="249"/>
      <c r="O1328" s="249"/>
      <c r="P1328" s="249"/>
      <c r="Q1328" s="249"/>
      <c r="R1328" s="249"/>
      <c r="S1328" s="249"/>
      <c r="T1328" s="249"/>
      <c r="U1328" s="249"/>
      <c r="V1328" s="249"/>
    </row>
    <row r="1329">
      <c r="A1329" s="255" t="s">
        <v>2456</v>
      </c>
      <c r="B1329" s="248">
        <v>2024.0</v>
      </c>
      <c r="C1329" s="248" t="s">
        <v>2343</v>
      </c>
      <c r="D1329" s="248" t="s">
        <v>2331</v>
      </c>
      <c r="E1329" s="248" t="s">
        <v>2332</v>
      </c>
      <c r="F1329" s="248" t="s">
        <v>2336</v>
      </c>
      <c r="G1329" s="248" t="s">
        <v>34</v>
      </c>
      <c r="H1329" s="257" t="s">
        <v>2337</v>
      </c>
      <c r="I1329" s="248"/>
      <c r="J1329" s="248"/>
      <c r="K1329" s="249"/>
      <c r="L1329" s="248"/>
      <c r="M1329" s="249"/>
      <c r="N1329" s="249"/>
      <c r="O1329" s="249"/>
      <c r="P1329" s="249"/>
      <c r="Q1329" s="249"/>
      <c r="R1329" s="249"/>
      <c r="S1329" s="249"/>
      <c r="T1329" s="249"/>
      <c r="U1329" s="249"/>
      <c r="V1329" s="249"/>
    </row>
    <row r="1330">
      <c r="A1330" s="255" t="s">
        <v>2457</v>
      </c>
      <c r="B1330" s="248">
        <v>2024.0</v>
      </c>
      <c r="C1330" s="248" t="s">
        <v>2343</v>
      </c>
      <c r="D1330" s="248" t="s">
        <v>2331</v>
      </c>
      <c r="E1330" s="248" t="s">
        <v>2332</v>
      </c>
      <c r="F1330" s="248" t="s">
        <v>2327</v>
      </c>
      <c r="G1330" s="248" t="s">
        <v>34</v>
      </c>
      <c r="H1330" s="257" t="s">
        <v>2337</v>
      </c>
      <c r="I1330" s="248"/>
      <c r="J1330" s="248"/>
      <c r="K1330" s="249"/>
      <c r="L1330" s="248"/>
      <c r="M1330" s="249"/>
      <c r="N1330" s="249"/>
      <c r="O1330" s="249"/>
      <c r="P1330" s="249"/>
      <c r="Q1330" s="249"/>
      <c r="R1330" s="249"/>
      <c r="S1330" s="249"/>
      <c r="T1330" s="249"/>
      <c r="U1330" s="249"/>
      <c r="V1330" s="249"/>
    </row>
    <row r="1331">
      <c r="A1331" s="255" t="s">
        <v>2458</v>
      </c>
      <c r="B1331" s="248">
        <v>2024.0</v>
      </c>
      <c r="C1331" s="248" t="s">
        <v>2343</v>
      </c>
      <c r="D1331" s="248" t="s">
        <v>2325</v>
      </c>
      <c r="E1331" s="248" t="s">
        <v>2344</v>
      </c>
      <c r="F1331" s="248" t="s">
        <v>2327</v>
      </c>
      <c r="G1331" s="248" t="s">
        <v>34</v>
      </c>
      <c r="H1331" s="257" t="s">
        <v>2337</v>
      </c>
      <c r="I1331" s="248"/>
      <c r="J1331" s="248"/>
      <c r="K1331" s="249"/>
      <c r="L1331" s="248"/>
      <c r="M1331" s="249"/>
      <c r="N1331" s="249"/>
      <c r="O1331" s="249"/>
      <c r="P1331" s="249"/>
      <c r="Q1331" s="249"/>
      <c r="R1331" s="249"/>
      <c r="S1331" s="249"/>
      <c r="T1331" s="249"/>
      <c r="U1331" s="249"/>
      <c r="V1331" s="249"/>
    </row>
    <row r="1332">
      <c r="A1332" s="255" t="s">
        <v>2459</v>
      </c>
      <c r="B1332" s="248">
        <v>2024.0</v>
      </c>
      <c r="C1332" s="248" t="s">
        <v>2343</v>
      </c>
      <c r="D1332" s="248" t="s">
        <v>2331</v>
      </c>
      <c r="E1332" s="248" t="s">
        <v>2332</v>
      </c>
      <c r="F1332" s="248" t="s">
        <v>2327</v>
      </c>
      <c r="G1332" s="248" t="s">
        <v>34</v>
      </c>
      <c r="H1332" s="257" t="s">
        <v>2337</v>
      </c>
      <c r="I1332" s="248"/>
      <c r="J1332" s="248"/>
      <c r="K1332" s="249"/>
      <c r="L1332" s="248"/>
      <c r="M1332" s="249"/>
      <c r="N1332" s="249"/>
      <c r="O1332" s="249"/>
      <c r="P1332" s="249"/>
      <c r="Q1332" s="249"/>
      <c r="R1332" s="249"/>
      <c r="S1332" s="249"/>
      <c r="T1332" s="249"/>
      <c r="U1332" s="249"/>
      <c r="V1332" s="249"/>
    </row>
    <row r="1333">
      <c r="A1333" s="255" t="s">
        <v>2460</v>
      </c>
      <c r="B1333" s="248">
        <v>2024.0</v>
      </c>
      <c r="C1333" s="248" t="s">
        <v>2343</v>
      </c>
      <c r="D1333" s="248" t="s">
        <v>2331</v>
      </c>
      <c r="E1333" s="248" t="s">
        <v>2332</v>
      </c>
      <c r="F1333" s="248" t="s">
        <v>2336</v>
      </c>
      <c r="G1333" s="248" t="s">
        <v>34</v>
      </c>
      <c r="H1333" s="257" t="s">
        <v>2337</v>
      </c>
      <c r="I1333" s="248"/>
      <c r="J1333" s="248"/>
      <c r="K1333" s="249"/>
      <c r="L1333" s="248"/>
      <c r="M1333" s="249"/>
      <c r="N1333" s="249"/>
      <c r="O1333" s="249"/>
      <c r="P1333" s="249"/>
      <c r="Q1333" s="249"/>
      <c r="R1333" s="249"/>
      <c r="S1333" s="249"/>
      <c r="T1333" s="249"/>
      <c r="U1333" s="249"/>
      <c r="V1333" s="249"/>
    </row>
    <row r="1334">
      <c r="A1334" s="255" t="s">
        <v>2461</v>
      </c>
      <c r="B1334" s="248">
        <v>2024.0</v>
      </c>
      <c r="C1334" s="248" t="s">
        <v>2343</v>
      </c>
      <c r="D1334" s="248" t="s">
        <v>2331</v>
      </c>
      <c r="E1334" s="248" t="s">
        <v>2335</v>
      </c>
      <c r="F1334" s="248" t="s">
        <v>2327</v>
      </c>
      <c r="G1334" s="248" t="s">
        <v>34</v>
      </c>
      <c r="H1334" s="257" t="s">
        <v>2337</v>
      </c>
      <c r="I1334" s="248"/>
      <c r="J1334" s="248"/>
      <c r="K1334" s="249"/>
      <c r="L1334" s="248"/>
      <c r="M1334" s="249"/>
      <c r="N1334" s="249"/>
      <c r="O1334" s="249"/>
      <c r="P1334" s="249"/>
      <c r="Q1334" s="249"/>
      <c r="R1334" s="249"/>
      <c r="S1334" s="249"/>
      <c r="T1334" s="249"/>
      <c r="U1334" s="249"/>
      <c r="V1334" s="249"/>
    </row>
    <row r="1335">
      <c r="A1335" s="255" t="s">
        <v>2462</v>
      </c>
      <c r="B1335" s="248">
        <v>2024.0</v>
      </c>
      <c r="C1335" s="248" t="s">
        <v>2343</v>
      </c>
      <c r="D1335" s="248" t="s">
        <v>2331</v>
      </c>
      <c r="E1335" s="248" t="s">
        <v>2332</v>
      </c>
      <c r="F1335" s="248" t="s">
        <v>2327</v>
      </c>
      <c r="G1335" s="248" t="s">
        <v>34</v>
      </c>
      <c r="H1335" s="257" t="s">
        <v>2337</v>
      </c>
      <c r="I1335" s="248"/>
      <c r="J1335" s="248"/>
      <c r="K1335" s="249"/>
      <c r="L1335" s="248"/>
      <c r="M1335" s="249"/>
      <c r="N1335" s="249"/>
      <c r="O1335" s="249"/>
      <c r="P1335" s="249"/>
      <c r="Q1335" s="249"/>
      <c r="R1335" s="249"/>
      <c r="S1335" s="249"/>
      <c r="T1335" s="249"/>
      <c r="U1335" s="249"/>
      <c r="V1335" s="249"/>
    </row>
    <row r="1336">
      <c r="A1336" s="255" t="s">
        <v>2463</v>
      </c>
      <c r="B1336" s="248">
        <v>2024.0</v>
      </c>
      <c r="C1336" s="248" t="s">
        <v>2343</v>
      </c>
      <c r="D1336" s="248" t="s">
        <v>2331</v>
      </c>
      <c r="E1336" s="248" t="s">
        <v>2332</v>
      </c>
      <c r="F1336" s="248" t="s">
        <v>2327</v>
      </c>
      <c r="G1336" s="248" t="s">
        <v>34</v>
      </c>
      <c r="H1336" s="257" t="s">
        <v>2337</v>
      </c>
      <c r="I1336" s="248"/>
      <c r="J1336" s="248"/>
      <c r="K1336" s="249"/>
      <c r="L1336" s="248"/>
      <c r="M1336" s="249"/>
      <c r="N1336" s="249"/>
      <c r="O1336" s="249"/>
      <c r="P1336" s="249"/>
      <c r="Q1336" s="249"/>
      <c r="R1336" s="249"/>
      <c r="S1336" s="249"/>
      <c r="T1336" s="249"/>
      <c r="U1336" s="249"/>
      <c r="V1336" s="249"/>
    </row>
    <row r="1337">
      <c r="A1337" s="255" t="s">
        <v>2464</v>
      </c>
      <c r="B1337" s="248">
        <v>2024.0</v>
      </c>
      <c r="C1337" s="248" t="s">
        <v>2343</v>
      </c>
      <c r="D1337" s="248" t="s">
        <v>2331</v>
      </c>
      <c r="E1337" s="248" t="s">
        <v>2332</v>
      </c>
      <c r="F1337" s="248" t="s">
        <v>2336</v>
      </c>
      <c r="G1337" s="248" t="s">
        <v>34</v>
      </c>
      <c r="H1337" s="257" t="s">
        <v>2337</v>
      </c>
      <c r="I1337" s="248"/>
      <c r="J1337" s="248"/>
      <c r="K1337" s="249"/>
      <c r="L1337" s="248"/>
      <c r="M1337" s="249"/>
      <c r="N1337" s="249"/>
      <c r="O1337" s="249"/>
      <c r="P1337" s="249"/>
      <c r="Q1337" s="249"/>
      <c r="R1337" s="249"/>
      <c r="S1337" s="249"/>
      <c r="T1337" s="249"/>
      <c r="U1337" s="249"/>
      <c r="V1337" s="249"/>
    </row>
    <row r="1338">
      <c r="A1338" s="255" t="s">
        <v>2465</v>
      </c>
      <c r="B1338" s="248">
        <v>2024.0</v>
      </c>
      <c r="C1338" s="248" t="s">
        <v>2343</v>
      </c>
      <c r="D1338" s="248" t="s">
        <v>2331</v>
      </c>
      <c r="E1338" s="248" t="s">
        <v>2332</v>
      </c>
      <c r="F1338" s="248" t="s">
        <v>2336</v>
      </c>
      <c r="G1338" s="248" t="s">
        <v>34</v>
      </c>
      <c r="H1338" s="257" t="s">
        <v>2337</v>
      </c>
      <c r="I1338" s="248"/>
      <c r="J1338" s="248"/>
      <c r="K1338" s="249"/>
      <c r="L1338" s="248"/>
      <c r="M1338" s="249"/>
      <c r="N1338" s="249"/>
      <c r="O1338" s="249"/>
      <c r="P1338" s="249"/>
      <c r="Q1338" s="249"/>
      <c r="R1338" s="249"/>
      <c r="S1338" s="249"/>
      <c r="T1338" s="249"/>
      <c r="U1338" s="249"/>
      <c r="V1338" s="249"/>
    </row>
    <row r="1339">
      <c r="A1339" s="255" t="s">
        <v>2466</v>
      </c>
      <c r="B1339" s="248">
        <v>2024.0</v>
      </c>
      <c r="C1339" s="248" t="s">
        <v>2343</v>
      </c>
      <c r="D1339" s="248" t="s">
        <v>2331</v>
      </c>
      <c r="E1339" s="248" t="s">
        <v>2335</v>
      </c>
      <c r="F1339" s="248" t="s">
        <v>2336</v>
      </c>
      <c r="G1339" s="248" t="s">
        <v>34</v>
      </c>
      <c r="H1339" s="257" t="s">
        <v>2337</v>
      </c>
      <c r="I1339" s="248"/>
      <c r="J1339" s="248"/>
      <c r="K1339" s="249"/>
      <c r="L1339" s="248"/>
      <c r="M1339" s="249"/>
      <c r="N1339" s="249"/>
      <c r="O1339" s="249"/>
      <c r="P1339" s="249"/>
      <c r="Q1339" s="249"/>
      <c r="R1339" s="249"/>
      <c r="S1339" s="249"/>
      <c r="T1339" s="249"/>
      <c r="U1339" s="249"/>
      <c r="V1339" s="249"/>
    </row>
    <row r="1340">
      <c r="A1340" s="255" t="s">
        <v>2467</v>
      </c>
      <c r="B1340" s="248">
        <v>2024.0</v>
      </c>
      <c r="C1340" s="248" t="s">
        <v>2343</v>
      </c>
      <c r="D1340" s="248" t="s">
        <v>2331</v>
      </c>
      <c r="E1340" s="248" t="s">
        <v>2332</v>
      </c>
      <c r="F1340" s="248" t="s">
        <v>2327</v>
      </c>
      <c r="G1340" s="248" t="s">
        <v>34</v>
      </c>
      <c r="H1340" s="257" t="s">
        <v>2337</v>
      </c>
      <c r="I1340" s="248"/>
      <c r="J1340" s="248"/>
      <c r="K1340" s="249"/>
      <c r="L1340" s="248"/>
      <c r="M1340" s="249"/>
      <c r="N1340" s="249"/>
      <c r="O1340" s="249"/>
      <c r="P1340" s="249"/>
      <c r="Q1340" s="249"/>
      <c r="R1340" s="249"/>
      <c r="S1340" s="249"/>
      <c r="T1340" s="249"/>
      <c r="U1340" s="249"/>
      <c r="V1340" s="249"/>
    </row>
    <row r="1341">
      <c r="A1341" s="255" t="s">
        <v>2468</v>
      </c>
      <c r="B1341" s="248">
        <v>2024.0</v>
      </c>
      <c r="C1341" s="248" t="s">
        <v>2343</v>
      </c>
      <c r="D1341" s="248" t="s">
        <v>2331</v>
      </c>
      <c r="E1341" s="248" t="s">
        <v>2332</v>
      </c>
      <c r="F1341" s="248" t="s">
        <v>2327</v>
      </c>
      <c r="G1341" s="248" t="s">
        <v>34</v>
      </c>
      <c r="H1341" s="257" t="s">
        <v>2337</v>
      </c>
      <c r="I1341" s="248"/>
      <c r="J1341" s="248"/>
      <c r="K1341" s="249"/>
      <c r="L1341" s="248"/>
      <c r="M1341" s="249"/>
      <c r="N1341" s="249"/>
      <c r="O1341" s="249"/>
      <c r="P1341" s="249"/>
      <c r="Q1341" s="249"/>
      <c r="R1341" s="249"/>
      <c r="S1341" s="249"/>
      <c r="T1341" s="249"/>
      <c r="U1341" s="249"/>
      <c r="V1341" s="249"/>
    </row>
    <row r="1342">
      <c r="A1342" s="255" t="s">
        <v>2469</v>
      </c>
      <c r="B1342" s="248">
        <v>2024.0</v>
      </c>
      <c r="C1342" s="248" t="s">
        <v>2343</v>
      </c>
      <c r="D1342" s="248" t="s">
        <v>2325</v>
      </c>
      <c r="E1342" s="248" t="s">
        <v>2344</v>
      </c>
      <c r="F1342" s="248" t="s">
        <v>2327</v>
      </c>
      <c r="G1342" s="248" t="s">
        <v>34</v>
      </c>
      <c r="H1342" s="257" t="s">
        <v>2337</v>
      </c>
      <c r="I1342" s="248"/>
      <c r="J1342" s="248"/>
      <c r="K1342" s="249"/>
      <c r="L1342" s="248"/>
      <c r="M1342" s="249"/>
      <c r="N1342" s="249"/>
      <c r="O1342" s="249"/>
      <c r="P1342" s="249"/>
      <c r="Q1342" s="249"/>
      <c r="R1342" s="249"/>
      <c r="S1342" s="249"/>
      <c r="T1342" s="249"/>
      <c r="U1342" s="249"/>
      <c r="V1342" s="249"/>
    </row>
    <row r="1343">
      <c r="A1343" s="255" t="s">
        <v>2470</v>
      </c>
      <c r="B1343" s="248">
        <v>2024.0</v>
      </c>
      <c r="C1343" s="248" t="s">
        <v>2343</v>
      </c>
      <c r="D1343" s="248" t="s">
        <v>2325</v>
      </c>
      <c r="E1343" s="248" t="s">
        <v>2344</v>
      </c>
      <c r="F1343" s="248" t="s">
        <v>2336</v>
      </c>
      <c r="G1343" s="248" t="s">
        <v>34</v>
      </c>
      <c r="H1343" s="257" t="s">
        <v>2337</v>
      </c>
      <c r="I1343" s="248"/>
      <c r="J1343" s="248"/>
      <c r="K1343" s="249"/>
      <c r="L1343" s="248"/>
      <c r="M1343" s="249"/>
      <c r="N1343" s="249"/>
      <c r="O1343" s="249"/>
      <c r="P1343" s="249"/>
      <c r="Q1343" s="249"/>
      <c r="R1343" s="249"/>
      <c r="S1343" s="249"/>
      <c r="T1343" s="249"/>
      <c r="U1343" s="249"/>
      <c r="V1343" s="249"/>
    </row>
    <row r="1344">
      <c r="A1344" s="255" t="s">
        <v>2471</v>
      </c>
      <c r="B1344" s="248">
        <v>2024.0</v>
      </c>
      <c r="C1344" s="248" t="s">
        <v>2343</v>
      </c>
      <c r="D1344" s="248" t="s">
        <v>2325</v>
      </c>
      <c r="E1344" s="248" t="s">
        <v>2344</v>
      </c>
      <c r="F1344" s="248" t="s">
        <v>2327</v>
      </c>
      <c r="G1344" s="248" t="s">
        <v>34</v>
      </c>
      <c r="H1344" s="257" t="s">
        <v>2337</v>
      </c>
      <c r="I1344" s="248"/>
      <c r="J1344" s="248"/>
      <c r="K1344" s="249"/>
      <c r="L1344" s="248"/>
      <c r="M1344" s="249"/>
      <c r="N1344" s="249"/>
      <c r="O1344" s="249"/>
      <c r="P1344" s="249"/>
      <c r="Q1344" s="249"/>
      <c r="R1344" s="249"/>
      <c r="S1344" s="249"/>
      <c r="T1344" s="249"/>
      <c r="U1344" s="249"/>
      <c r="V1344" s="249"/>
    </row>
    <row r="1345">
      <c r="A1345" s="255" t="s">
        <v>2472</v>
      </c>
      <c r="B1345" s="248">
        <v>2024.0</v>
      </c>
      <c r="C1345" s="248" t="s">
        <v>2324</v>
      </c>
      <c r="D1345" s="248" t="s">
        <v>2325</v>
      </c>
      <c r="E1345" s="248" t="s">
        <v>2344</v>
      </c>
      <c r="F1345" s="248" t="s">
        <v>2336</v>
      </c>
      <c r="G1345" s="248" t="s">
        <v>34</v>
      </c>
      <c r="H1345" s="257" t="s">
        <v>2337</v>
      </c>
      <c r="I1345" s="248"/>
      <c r="J1345" s="248"/>
      <c r="K1345" s="249"/>
      <c r="L1345" s="248"/>
      <c r="M1345" s="249"/>
      <c r="N1345" s="249"/>
      <c r="O1345" s="249"/>
      <c r="P1345" s="249"/>
      <c r="Q1345" s="249"/>
      <c r="R1345" s="249"/>
      <c r="S1345" s="249"/>
      <c r="T1345" s="249"/>
      <c r="U1345" s="249"/>
      <c r="V1345" s="249"/>
    </row>
    <row r="1346">
      <c r="A1346" s="255" t="s">
        <v>2473</v>
      </c>
      <c r="B1346" s="248">
        <v>2024.0</v>
      </c>
      <c r="C1346" s="248" t="s">
        <v>2343</v>
      </c>
      <c r="D1346" s="248" t="s">
        <v>2331</v>
      </c>
      <c r="E1346" s="248" t="s">
        <v>2335</v>
      </c>
      <c r="F1346" s="248" t="s">
        <v>2336</v>
      </c>
      <c r="G1346" s="248" t="s">
        <v>34</v>
      </c>
      <c r="H1346" s="257" t="s">
        <v>2337</v>
      </c>
      <c r="I1346" s="248"/>
      <c r="J1346" s="248"/>
      <c r="K1346" s="249"/>
      <c r="L1346" s="248"/>
      <c r="M1346" s="249"/>
      <c r="N1346" s="249"/>
      <c r="O1346" s="249"/>
      <c r="P1346" s="249"/>
      <c r="Q1346" s="249"/>
      <c r="R1346" s="249"/>
      <c r="S1346" s="249"/>
      <c r="T1346" s="249"/>
      <c r="U1346" s="249"/>
      <c r="V1346" s="249"/>
    </row>
    <row r="1347">
      <c r="A1347" s="255" t="s">
        <v>2474</v>
      </c>
      <c r="B1347" s="248">
        <v>2024.0</v>
      </c>
      <c r="C1347" s="248" t="s">
        <v>2343</v>
      </c>
      <c r="D1347" s="248" t="s">
        <v>2331</v>
      </c>
      <c r="E1347" s="248" t="s">
        <v>2335</v>
      </c>
      <c r="F1347" s="248" t="s">
        <v>2336</v>
      </c>
      <c r="G1347" s="248" t="s">
        <v>34</v>
      </c>
      <c r="H1347" s="257" t="s">
        <v>2337</v>
      </c>
      <c r="I1347" s="248"/>
      <c r="J1347" s="248"/>
      <c r="K1347" s="249"/>
      <c r="L1347" s="248"/>
      <c r="M1347" s="249"/>
      <c r="N1347" s="249"/>
      <c r="O1347" s="249"/>
      <c r="P1347" s="249"/>
      <c r="Q1347" s="249"/>
      <c r="R1347" s="249"/>
      <c r="S1347" s="249"/>
      <c r="T1347" s="249"/>
      <c r="U1347" s="249"/>
      <c r="V1347" s="249"/>
    </row>
    <row r="1348">
      <c r="A1348" s="255" t="s">
        <v>2475</v>
      </c>
      <c r="B1348" s="248">
        <v>2024.0</v>
      </c>
      <c r="C1348" s="248" t="s">
        <v>2343</v>
      </c>
      <c r="D1348" s="248" t="s">
        <v>2331</v>
      </c>
      <c r="E1348" s="248" t="s">
        <v>2335</v>
      </c>
      <c r="F1348" s="248" t="s">
        <v>2336</v>
      </c>
      <c r="G1348" s="248" t="s">
        <v>34</v>
      </c>
      <c r="H1348" s="257" t="s">
        <v>2337</v>
      </c>
      <c r="I1348" s="248"/>
      <c r="J1348" s="248"/>
      <c r="K1348" s="249"/>
      <c r="L1348" s="248"/>
      <c r="M1348" s="249"/>
      <c r="N1348" s="249"/>
      <c r="O1348" s="249"/>
      <c r="P1348" s="249"/>
      <c r="Q1348" s="249"/>
      <c r="R1348" s="249"/>
      <c r="S1348" s="249"/>
      <c r="T1348" s="249"/>
      <c r="U1348" s="249"/>
      <c r="V1348" s="249"/>
    </row>
    <row r="1349">
      <c r="A1349" s="255" t="s">
        <v>2476</v>
      </c>
      <c r="B1349" s="248">
        <v>2024.0</v>
      </c>
      <c r="C1349" s="248" t="s">
        <v>2343</v>
      </c>
      <c r="D1349" s="248" t="s">
        <v>2331</v>
      </c>
      <c r="E1349" s="248" t="s">
        <v>2332</v>
      </c>
      <c r="F1349" s="248" t="s">
        <v>2336</v>
      </c>
      <c r="G1349" s="248" t="s">
        <v>34</v>
      </c>
      <c r="H1349" s="257" t="s">
        <v>2337</v>
      </c>
      <c r="I1349" s="248"/>
      <c r="J1349" s="248"/>
      <c r="K1349" s="249"/>
      <c r="L1349" s="248"/>
      <c r="M1349" s="249"/>
      <c r="N1349" s="249"/>
      <c r="O1349" s="249"/>
      <c r="P1349" s="249"/>
      <c r="Q1349" s="249"/>
      <c r="R1349" s="249"/>
      <c r="S1349" s="249"/>
      <c r="T1349" s="249"/>
      <c r="U1349" s="249"/>
      <c r="V1349" s="249"/>
    </row>
    <row r="1350">
      <c r="A1350" s="255" t="s">
        <v>2477</v>
      </c>
      <c r="B1350" s="248">
        <v>2024.0</v>
      </c>
      <c r="C1350" s="248" t="s">
        <v>2324</v>
      </c>
      <c r="D1350" s="248" t="s">
        <v>2331</v>
      </c>
      <c r="E1350" s="248" t="s">
        <v>2335</v>
      </c>
      <c r="F1350" s="248" t="s">
        <v>2327</v>
      </c>
      <c r="G1350" s="248" t="s">
        <v>34</v>
      </c>
      <c r="H1350" s="257" t="s">
        <v>2337</v>
      </c>
      <c r="I1350" s="248"/>
      <c r="J1350" s="248"/>
      <c r="K1350" s="249"/>
      <c r="L1350" s="248"/>
      <c r="M1350" s="249"/>
      <c r="N1350" s="249"/>
      <c r="O1350" s="249"/>
      <c r="P1350" s="249"/>
      <c r="Q1350" s="249"/>
      <c r="R1350" s="249"/>
      <c r="S1350" s="249"/>
      <c r="T1350" s="249"/>
      <c r="U1350" s="249"/>
      <c r="V1350" s="249"/>
    </row>
    <row r="1351">
      <c r="A1351" s="255" t="s">
        <v>2478</v>
      </c>
      <c r="B1351" s="248">
        <v>2024.0</v>
      </c>
      <c r="C1351" s="248" t="s">
        <v>2343</v>
      </c>
      <c r="D1351" s="248" t="s">
        <v>2331</v>
      </c>
      <c r="E1351" s="248" t="s">
        <v>2332</v>
      </c>
      <c r="F1351" s="248" t="s">
        <v>2336</v>
      </c>
      <c r="G1351" s="248" t="s">
        <v>34</v>
      </c>
      <c r="H1351" s="257" t="s">
        <v>2337</v>
      </c>
      <c r="I1351" s="248"/>
      <c r="J1351" s="248"/>
      <c r="K1351" s="249"/>
      <c r="L1351" s="248"/>
      <c r="M1351" s="249"/>
      <c r="N1351" s="249"/>
      <c r="O1351" s="249"/>
      <c r="P1351" s="249"/>
      <c r="Q1351" s="249"/>
      <c r="R1351" s="249"/>
      <c r="S1351" s="249"/>
      <c r="T1351" s="249"/>
      <c r="U1351" s="249"/>
      <c r="V1351" s="249"/>
    </row>
    <row r="1352">
      <c r="A1352" s="255" t="s">
        <v>2479</v>
      </c>
      <c r="B1352" s="248">
        <v>2024.0</v>
      </c>
      <c r="C1352" s="248" t="s">
        <v>2343</v>
      </c>
      <c r="D1352" s="248" t="s">
        <v>2331</v>
      </c>
      <c r="E1352" s="248" t="s">
        <v>2332</v>
      </c>
      <c r="F1352" s="248" t="s">
        <v>2327</v>
      </c>
      <c r="G1352" s="248" t="s">
        <v>34</v>
      </c>
      <c r="H1352" s="257" t="s">
        <v>2337</v>
      </c>
      <c r="I1352" s="248"/>
      <c r="J1352" s="248"/>
      <c r="K1352" s="249"/>
      <c r="L1352" s="248"/>
      <c r="M1352" s="249"/>
      <c r="N1352" s="249"/>
      <c r="O1352" s="249"/>
      <c r="P1352" s="249"/>
      <c r="Q1352" s="249"/>
      <c r="R1352" s="249"/>
      <c r="S1352" s="249"/>
      <c r="T1352" s="249"/>
      <c r="U1352" s="249"/>
      <c r="V1352" s="249"/>
    </row>
    <row r="1353">
      <c r="A1353" s="255" t="s">
        <v>2480</v>
      </c>
      <c r="B1353" s="248">
        <v>2024.0</v>
      </c>
      <c r="C1353" s="248" t="s">
        <v>2343</v>
      </c>
      <c r="D1353" s="248" t="s">
        <v>2331</v>
      </c>
      <c r="E1353" s="248" t="s">
        <v>2332</v>
      </c>
      <c r="F1353" s="248" t="s">
        <v>2336</v>
      </c>
      <c r="G1353" s="248" t="s">
        <v>34</v>
      </c>
      <c r="H1353" s="257" t="s">
        <v>2337</v>
      </c>
      <c r="I1353" s="248"/>
      <c r="J1353" s="248"/>
      <c r="K1353" s="249"/>
      <c r="L1353" s="248"/>
      <c r="M1353" s="249"/>
      <c r="N1353" s="249"/>
      <c r="O1353" s="249"/>
      <c r="P1353" s="249"/>
      <c r="Q1353" s="249"/>
      <c r="R1353" s="249"/>
      <c r="S1353" s="249"/>
      <c r="T1353" s="249"/>
      <c r="U1353" s="249"/>
      <c r="V1353" s="249"/>
    </row>
    <row r="1354">
      <c r="A1354" s="255" t="s">
        <v>2481</v>
      </c>
      <c r="B1354" s="248">
        <v>2024.0</v>
      </c>
      <c r="C1354" s="248" t="s">
        <v>2343</v>
      </c>
      <c r="D1354" s="248" t="s">
        <v>2331</v>
      </c>
      <c r="E1354" s="248" t="s">
        <v>2335</v>
      </c>
      <c r="F1354" s="248" t="s">
        <v>2327</v>
      </c>
      <c r="G1354" s="248" t="s">
        <v>34</v>
      </c>
      <c r="H1354" s="257" t="s">
        <v>2337</v>
      </c>
      <c r="I1354" s="248"/>
      <c r="J1354" s="248"/>
      <c r="K1354" s="249"/>
      <c r="L1354" s="248"/>
      <c r="M1354" s="249"/>
      <c r="N1354" s="249"/>
      <c r="O1354" s="249"/>
      <c r="P1354" s="249"/>
      <c r="Q1354" s="249"/>
      <c r="R1354" s="249"/>
      <c r="S1354" s="249"/>
      <c r="T1354" s="249"/>
      <c r="U1354" s="249"/>
      <c r="V1354" s="249"/>
    </row>
    <row r="1355">
      <c r="A1355" s="255" t="s">
        <v>2482</v>
      </c>
      <c r="B1355" s="248">
        <v>2024.0</v>
      </c>
      <c r="C1355" s="248" t="s">
        <v>2343</v>
      </c>
      <c r="D1355" s="248" t="s">
        <v>2331</v>
      </c>
      <c r="E1355" s="248" t="s">
        <v>2335</v>
      </c>
      <c r="F1355" s="248" t="s">
        <v>2327</v>
      </c>
      <c r="G1355" s="248" t="s">
        <v>34</v>
      </c>
      <c r="H1355" s="257" t="s">
        <v>2337</v>
      </c>
      <c r="I1355" s="248"/>
      <c r="J1355" s="248"/>
      <c r="K1355" s="249"/>
      <c r="L1355" s="248"/>
      <c r="M1355" s="249"/>
      <c r="N1355" s="249"/>
      <c r="O1355" s="249"/>
      <c r="P1355" s="249"/>
      <c r="Q1355" s="249"/>
      <c r="R1355" s="249"/>
      <c r="S1355" s="249"/>
      <c r="T1355" s="249"/>
      <c r="U1355" s="249"/>
      <c r="V1355" s="249"/>
    </row>
    <row r="1356">
      <c r="A1356" s="255" t="s">
        <v>2483</v>
      </c>
      <c r="B1356" s="248">
        <v>2024.0</v>
      </c>
      <c r="C1356" s="248" t="s">
        <v>2343</v>
      </c>
      <c r="D1356" s="248" t="s">
        <v>2331</v>
      </c>
      <c r="E1356" s="248" t="s">
        <v>2335</v>
      </c>
      <c r="F1356" s="248" t="s">
        <v>2336</v>
      </c>
      <c r="G1356" s="248" t="s">
        <v>34</v>
      </c>
      <c r="H1356" s="257" t="s">
        <v>2337</v>
      </c>
      <c r="I1356" s="248"/>
      <c r="J1356" s="248"/>
      <c r="K1356" s="249"/>
      <c r="L1356" s="248"/>
      <c r="M1356" s="249"/>
      <c r="N1356" s="249"/>
      <c r="O1356" s="249"/>
      <c r="P1356" s="249"/>
      <c r="Q1356" s="249"/>
      <c r="R1356" s="249"/>
      <c r="S1356" s="249"/>
      <c r="T1356" s="249"/>
      <c r="U1356" s="249"/>
      <c r="V1356" s="249"/>
    </row>
    <row r="1357">
      <c r="A1357" s="255" t="s">
        <v>2484</v>
      </c>
      <c r="B1357" s="248">
        <v>2024.0</v>
      </c>
      <c r="C1357" s="248" t="s">
        <v>2343</v>
      </c>
      <c r="D1357" s="248" t="s">
        <v>2331</v>
      </c>
      <c r="E1357" s="248" t="s">
        <v>2332</v>
      </c>
      <c r="F1357" s="248" t="s">
        <v>2336</v>
      </c>
      <c r="G1357" s="248" t="s">
        <v>34</v>
      </c>
      <c r="H1357" s="257" t="s">
        <v>2337</v>
      </c>
      <c r="I1357" s="248"/>
      <c r="J1357" s="248"/>
      <c r="K1357" s="249"/>
      <c r="L1357" s="248"/>
      <c r="M1357" s="249"/>
      <c r="N1357" s="249"/>
      <c r="O1357" s="249"/>
      <c r="P1357" s="249"/>
      <c r="Q1357" s="249"/>
      <c r="R1357" s="249"/>
      <c r="S1357" s="249"/>
      <c r="T1357" s="249"/>
      <c r="U1357" s="249"/>
      <c r="V1357" s="249"/>
    </row>
    <row r="1358">
      <c r="A1358" s="255" t="s">
        <v>2485</v>
      </c>
      <c r="B1358" s="248">
        <v>2024.0</v>
      </c>
      <c r="C1358" s="248" t="s">
        <v>2343</v>
      </c>
      <c r="D1358" s="248" t="s">
        <v>2331</v>
      </c>
      <c r="E1358" s="248" t="s">
        <v>2447</v>
      </c>
      <c r="F1358" s="248" t="s">
        <v>2327</v>
      </c>
      <c r="G1358" s="248" t="s">
        <v>34</v>
      </c>
      <c r="H1358" s="257" t="s">
        <v>2337</v>
      </c>
      <c r="I1358" s="248"/>
      <c r="J1358" s="248"/>
      <c r="K1358" s="249"/>
      <c r="L1358" s="248"/>
      <c r="M1358" s="249"/>
      <c r="N1358" s="249"/>
      <c r="O1358" s="249"/>
      <c r="P1358" s="249"/>
      <c r="Q1358" s="249"/>
      <c r="R1358" s="249"/>
      <c r="S1358" s="249"/>
      <c r="T1358" s="249"/>
      <c r="U1358" s="249"/>
      <c r="V1358" s="249"/>
    </row>
    <row r="1359">
      <c r="A1359" s="255" t="s">
        <v>2486</v>
      </c>
      <c r="B1359" s="248">
        <v>2024.0</v>
      </c>
      <c r="C1359" s="248" t="s">
        <v>2343</v>
      </c>
      <c r="D1359" s="248" t="s">
        <v>2331</v>
      </c>
      <c r="E1359" s="248" t="s">
        <v>2335</v>
      </c>
      <c r="F1359" s="248" t="s">
        <v>2336</v>
      </c>
      <c r="G1359" s="248" t="s">
        <v>34</v>
      </c>
      <c r="H1359" s="257" t="s">
        <v>2337</v>
      </c>
      <c r="I1359" s="248"/>
      <c r="J1359" s="248"/>
      <c r="K1359" s="249"/>
      <c r="L1359" s="248"/>
      <c r="M1359" s="249"/>
      <c r="N1359" s="249"/>
      <c r="O1359" s="249"/>
      <c r="P1359" s="249"/>
      <c r="Q1359" s="249"/>
      <c r="R1359" s="249"/>
      <c r="S1359" s="249"/>
      <c r="T1359" s="249"/>
      <c r="U1359" s="249"/>
      <c r="V1359" s="249"/>
    </row>
    <row r="1360">
      <c r="A1360" s="255" t="s">
        <v>2487</v>
      </c>
      <c r="B1360" s="248">
        <v>2024.0</v>
      </c>
      <c r="C1360" s="248" t="s">
        <v>2343</v>
      </c>
      <c r="D1360" s="248" t="s">
        <v>2331</v>
      </c>
      <c r="E1360" s="248" t="s">
        <v>2332</v>
      </c>
      <c r="F1360" s="248" t="s">
        <v>2327</v>
      </c>
      <c r="G1360" s="248" t="s">
        <v>34</v>
      </c>
      <c r="H1360" s="257" t="s">
        <v>2337</v>
      </c>
      <c r="I1360" s="248"/>
      <c r="J1360" s="248"/>
      <c r="K1360" s="249"/>
      <c r="L1360" s="248"/>
      <c r="M1360" s="249"/>
      <c r="N1360" s="249"/>
      <c r="O1360" s="249"/>
      <c r="P1360" s="249"/>
      <c r="Q1360" s="249"/>
      <c r="R1360" s="249"/>
      <c r="S1360" s="249"/>
      <c r="T1360" s="249"/>
      <c r="U1360" s="249"/>
      <c r="V1360" s="249"/>
    </row>
    <row r="1361">
      <c r="A1361" s="255" t="s">
        <v>2488</v>
      </c>
      <c r="B1361" s="248">
        <v>2024.0</v>
      </c>
      <c r="C1361" s="248" t="s">
        <v>2343</v>
      </c>
      <c r="D1361" s="248" t="s">
        <v>2331</v>
      </c>
      <c r="E1361" s="248" t="s">
        <v>2335</v>
      </c>
      <c r="F1361" s="248" t="s">
        <v>2327</v>
      </c>
      <c r="G1361" s="248" t="s">
        <v>34</v>
      </c>
      <c r="H1361" s="257" t="s">
        <v>2337</v>
      </c>
      <c r="I1361" s="248"/>
      <c r="J1361" s="248"/>
      <c r="K1361" s="249"/>
      <c r="L1361" s="248"/>
      <c r="M1361" s="249"/>
      <c r="N1361" s="249"/>
      <c r="O1361" s="249"/>
      <c r="P1361" s="249"/>
      <c r="Q1361" s="249"/>
      <c r="R1361" s="249"/>
      <c r="S1361" s="249"/>
      <c r="T1361" s="249"/>
      <c r="U1361" s="249"/>
      <c r="V1361" s="249"/>
    </row>
    <row r="1362">
      <c r="A1362" s="255" t="s">
        <v>2489</v>
      </c>
      <c r="B1362" s="248">
        <v>2024.0</v>
      </c>
      <c r="C1362" s="248" t="s">
        <v>2343</v>
      </c>
      <c r="D1362" s="248" t="s">
        <v>2331</v>
      </c>
      <c r="E1362" s="248" t="s">
        <v>2335</v>
      </c>
      <c r="F1362" s="248" t="s">
        <v>2336</v>
      </c>
      <c r="G1362" s="248" t="s">
        <v>34</v>
      </c>
      <c r="H1362" s="257" t="s">
        <v>2337</v>
      </c>
      <c r="I1362" s="248"/>
      <c r="J1362" s="248"/>
      <c r="K1362" s="249"/>
      <c r="L1362" s="248"/>
      <c r="M1362" s="249"/>
      <c r="N1362" s="249"/>
      <c r="O1362" s="249"/>
      <c r="P1362" s="249"/>
      <c r="Q1362" s="249"/>
      <c r="R1362" s="249"/>
      <c r="S1362" s="249"/>
      <c r="T1362" s="249"/>
      <c r="U1362" s="249"/>
      <c r="V1362" s="249"/>
    </row>
    <row r="1363">
      <c r="A1363" s="255" t="s">
        <v>2490</v>
      </c>
      <c r="B1363" s="248">
        <v>2024.0</v>
      </c>
      <c r="C1363" s="248" t="s">
        <v>2343</v>
      </c>
      <c r="D1363" s="248" t="s">
        <v>2331</v>
      </c>
      <c r="E1363" s="248" t="s">
        <v>2332</v>
      </c>
      <c r="F1363" s="248" t="s">
        <v>2327</v>
      </c>
      <c r="G1363" s="248" t="s">
        <v>34</v>
      </c>
      <c r="H1363" s="257" t="s">
        <v>2337</v>
      </c>
      <c r="I1363" s="248"/>
      <c r="J1363" s="248"/>
      <c r="K1363" s="249"/>
      <c r="L1363" s="248"/>
      <c r="M1363" s="249"/>
      <c r="N1363" s="249"/>
      <c r="O1363" s="249"/>
      <c r="P1363" s="249"/>
      <c r="Q1363" s="249"/>
      <c r="R1363" s="249"/>
      <c r="S1363" s="249"/>
      <c r="T1363" s="249"/>
      <c r="U1363" s="249"/>
      <c r="V1363" s="249"/>
    </row>
    <row r="1364">
      <c r="A1364" s="255" t="s">
        <v>2491</v>
      </c>
      <c r="B1364" s="248">
        <v>2024.0</v>
      </c>
      <c r="C1364" s="248" t="s">
        <v>2343</v>
      </c>
      <c r="D1364" s="248" t="s">
        <v>2331</v>
      </c>
      <c r="E1364" s="248" t="s">
        <v>2335</v>
      </c>
      <c r="F1364" s="248" t="s">
        <v>2336</v>
      </c>
      <c r="G1364" s="248" t="s">
        <v>34</v>
      </c>
      <c r="H1364" s="257" t="s">
        <v>2337</v>
      </c>
      <c r="I1364" s="248"/>
      <c r="J1364" s="248"/>
      <c r="K1364" s="249"/>
      <c r="L1364" s="248"/>
      <c r="M1364" s="249"/>
      <c r="N1364" s="249"/>
      <c r="O1364" s="249"/>
      <c r="P1364" s="249"/>
      <c r="Q1364" s="249"/>
      <c r="R1364" s="249"/>
      <c r="S1364" s="249"/>
      <c r="T1364" s="249"/>
      <c r="U1364" s="249"/>
      <c r="V1364" s="249"/>
    </row>
    <row r="1365">
      <c r="A1365" s="255" t="s">
        <v>2492</v>
      </c>
      <c r="B1365" s="248">
        <v>2024.0</v>
      </c>
      <c r="C1365" s="248" t="s">
        <v>2343</v>
      </c>
      <c r="D1365" s="248" t="s">
        <v>2331</v>
      </c>
      <c r="E1365" s="248" t="s">
        <v>2335</v>
      </c>
      <c r="F1365" s="248" t="s">
        <v>2336</v>
      </c>
      <c r="G1365" s="248" t="s">
        <v>34</v>
      </c>
      <c r="H1365" s="257" t="s">
        <v>2337</v>
      </c>
      <c r="I1365" s="248"/>
      <c r="J1365" s="248"/>
      <c r="K1365" s="249"/>
      <c r="L1365" s="248"/>
      <c r="M1365" s="249"/>
      <c r="N1365" s="249"/>
      <c r="O1365" s="249"/>
      <c r="P1365" s="249"/>
      <c r="Q1365" s="249"/>
      <c r="R1365" s="249"/>
      <c r="S1365" s="249"/>
      <c r="T1365" s="249"/>
      <c r="U1365" s="249"/>
      <c r="V1365" s="249"/>
    </row>
    <row r="1366">
      <c r="A1366" s="255" t="s">
        <v>2493</v>
      </c>
      <c r="B1366" s="248">
        <v>2024.0</v>
      </c>
      <c r="C1366" s="248" t="s">
        <v>2343</v>
      </c>
      <c r="D1366" s="248" t="s">
        <v>2331</v>
      </c>
      <c r="E1366" s="248" t="s">
        <v>2332</v>
      </c>
      <c r="F1366" s="248" t="s">
        <v>2327</v>
      </c>
      <c r="G1366" s="248" t="s">
        <v>34</v>
      </c>
      <c r="H1366" s="257" t="s">
        <v>2337</v>
      </c>
      <c r="I1366" s="248"/>
      <c r="J1366" s="248"/>
      <c r="K1366" s="249"/>
      <c r="L1366" s="248"/>
      <c r="M1366" s="249"/>
      <c r="N1366" s="249"/>
      <c r="O1366" s="249"/>
      <c r="P1366" s="249"/>
      <c r="Q1366" s="249"/>
      <c r="R1366" s="249"/>
      <c r="S1366" s="249"/>
      <c r="T1366" s="249"/>
      <c r="U1366" s="249"/>
      <c r="V1366" s="249"/>
    </row>
    <row r="1367">
      <c r="A1367" s="255" t="s">
        <v>2494</v>
      </c>
      <c r="B1367" s="248">
        <v>2024.0</v>
      </c>
      <c r="C1367" s="248" t="s">
        <v>2343</v>
      </c>
      <c r="D1367" s="248" t="s">
        <v>2331</v>
      </c>
      <c r="E1367" s="248" t="s">
        <v>2332</v>
      </c>
      <c r="F1367" s="248" t="s">
        <v>2327</v>
      </c>
      <c r="G1367" s="248" t="s">
        <v>34</v>
      </c>
      <c r="H1367" s="257" t="s">
        <v>2337</v>
      </c>
      <c r="I1367" s="248"/>
      <c r="J1367" s="248"/>
      <c r="K1367" s="249"/>
      <c r="L1367" s="248"/>
      <c r="M1367" s="249"/>
      <c r="N1367" s="249"/>
      <c r="O1367" s="249"/>
      <c r="P1367" s="249"/>
      <c r="Q1367" s="249"/>
      <c r="R1367" s="249"/>
      <c r="S1367" s="249"/>
      <c r="T1367" s="249"/>
      <c r="U1367" s="249"/>
      <c r="V1367" s="249"/>
    </row>
    <row r="1368">
      <c r="A1368" s="255" t="s">
        <v>2495</v>
      </c>
      <c r="B1368" s="248">
        <v>2024.0</v>
      </c>
      <c r="C1368" s="248" t="s">
        <v>2343</v>
      </c>
      <c r="D1368" s="248" t="s">
        <v>2331</v>
      </c>
      <c r="E1368" s="248" t="s">
        <v>2332</v>
      </c>
      <c r="F1368" s="248" t="s">
        <v>2327</v>
      </c>
      <c r="G1368" s="248" t="s">
        <v>34</v>
      </c>
      <c r="H1368" s="257" t="s">
        <v>2337</v>
      </c>
      <c r="I1368" s="248"/>
      <c r="J1368" s="248"/>
      <c r="K1368" s="249"/>
      <c r="L1368" s="248"/>
      <c r="M1368" s="249"/>
      <c r="N1368" s="249"/>
      <c r="O1368" s="249"/>
      <c r="P1368" s="249"/>
      <c r="Q1368" s="249"/>
      <c r="R1368" s="249"/>
      <c r="S1368" s="249"/>
      <c r="T1368" s="249"/>
      <c r="U1368" s="249"/>
      <c r="V1368" s="249"/>
    </row>
    <row r="1369">
      <c r="A1369" s="255" t="s">
        <v>2496</v>
      </c>
      <c r="B1369" s="248">
        <v>2024.0</v>
      </c>
      <c r="C1369" s="248" t="s">
        <v>2343</v>
      </c>
      <c r="D1369" s="248" t="s">
        <v>2331</v>
      </c>
      <c r="E1369" s="248" t="s">
        <v>2332</v>
      </c>
      <c r="F1369" s="248" t="s">
        <v>2336</v>
      </c>
      <c r="G1369" s="248" t="s">
        <v>34</v>
      </c>
      <c r="H1369" s="257" t="s">
        <v>2337</v>
      </c>
      <c r="I1369" s="248"/>
      <c r="J1369" s="248"/>
      <c r="K1369" s="249"/>
      <c r="L1369" s="248"/>
      <c r="M1369" s="249"/>
      <c r="N1369" s="249"/>
      <c r="O1369" s="249"/>
      <c r="P1369" s="249"/>
      <c r="Q1369" s="249"/>
      <c r="R1369" s="249"/>
      <c r="S1369" s="249"/>
      <c r="T1369" s="249"/>
      <c r="U1369" s="249"/>
      <c r="V1369" s="249"/>
    </row>
    <row r="1370">
      <c r="A1370" s="255" t="s">
        <v>2497</v>
      </c>
      <c r="B1370" s="248">
        <v>2024.0</v>
      </c>
      <c r="C1370" s="248" t="s">
        <v>2343</v>
      </c>
      <c r="D1370" s="248" t="s">
        <v>2331</v>
      </c>
      <c r="E1370" s="248" t="s">
        <v>2332</v>
      </c>
      <c r="F1370" s="248" t="s">
        <v>2327</v>
      </c>
      <c r="G1370" s="248" t="s">
        <v>34</v>
      </c>
      <c r="H1370" s="257" t="s">
        <v>2337</v>
      </c>
      <c r="I1370" s="248"/>
      <c r="J1370" s="248"/>
      <c r="K1370" s="249"/>
      <c r="L1370" s="248"/>
      <c r="M1370" s="249"/>
      <c r="N1370" s="249"/>
      <c r="O1370" s="249"/>
      <c r="P1370" s="249"/>
      <c r="Q1370" s="249"/>
      <c r="R1370" s="249"/>
      <c r="S1370" s="249"/>
      <c r="T1370" s="249"/>
      <c r="U1370" s="249"/>
      <c r="V1370" s="249"/>
    </row>
    <row r="1371">
      <c r="A1371" s="255" t="s">
        <v>2498</v>
      </c>
      <c r="B1371" s="248">
        <v>2024.0</v>
      </c>
      <c r="C1371" s="248" t="s">
        <v>2343</v>
      </c>
      <c r="D1371" s="248" t="s">
        <v>2331</v>
      </c>
      <c r="E1371" s="248" t="s">
        <v>2332</v>
      </c>
      <c r="F1371" s="248" t="s">
        <v>2327</v>
      </c>
      <c r="G1371" s="248" t="s">
        <v>34</v>
      </c>
      <c r="H1371" s="257" t="s">
        <v>2337</v>
      </c>
      <c r="I1371" s="248"/>
      <c r="J1371" s="248"/>
      <c r="K1371" s="249"/>
      <c r="L1371" s="248"/>
      <c r="M1371" s="249"/>
      <c r="N1371" s="249"/>
      <c r="O1371" s="249"/>
      <c r="P1371" s="249"/>
      <c r="Q1371" s="249"/>
      <c r="R1371" s="249"/>
      <c r="S1371" s="249"/>
      <c r="T1371" s="249"/>
      <c r="U1371" s="249"/>
      <c r="V1371" s="249"/>
    </row>
    <row r="1372">
      <c r="A1372" s="255" t="s">
        <v>2499</v>
      </c>
      <c r="B1372" s="248">
        <v>2024.0</v>
      </c>
      <c r="C1372" s="248" t="s">
        <v>2343</v>
      </c>
      <c r="D1372" s="248" t="s">
        <v>2331</v>
      </c>
      <c r="E1372" s="248" t="s">
        <v>2332</v>
      </c>
      <c r="F1372" s="248" t="s">
        <v>2327</v>
      </c>
      <c r="G1372" s="248" t="s">
        <v>34</v>
      </c>
      <c r="H1372" s="257" t="s">
        <v>2337</v>
      </c>
      <c r="I1372" s="248"/>
      <c r="J1372" s="248"/>
      <c r="K1372" s="249"/>
      <c r="L1372" s="248"/>
      <c r="M1372" s="249"/>
      <c r="N1372" s="249"/>
      <c r="O1372" s="249"/>
      <c r="P1372" s="249"/>
      <c r="Q1372" s="249"/>
      <c r="R1372" s="249"/>
      <c r="S1372" s="249"/>
      <c r="T1372" s="249"/>
      <c r="U1372" s="249"/>
      <c r="V1372" s="249"/>
    </row>
    <row r="1373">
      <c r="A1373" s="255" t="s">
        <v>2500</v>
      </c>
      <c r="B1373" s="248">
        <v>2024.0</v>
      </c>
      <c r="C1373" s="248" t="s">
        <v>2343</v>
      </c>
      <c r="D1373" s="248" t="s">
        <v>2331</v>
      </c>
      <c r="E1373" s="248" t="s">
        <v>2332</v>
      </c>
      <c r="F1373" s="248" t="s">
        <v>2327</v>
      </c>
      <c r="G1373" s="248" t="s">
        <v>34</v>
      </c>
      <c r="H1373" s="257" t="s">
        <v>2337</v>
      </c>
      <c r="I1373" s="248"/>
      <c r="J1373" s="248"/>
      <c r="K1373" s="249"/>
      <c r="L1373" s="248"/>
      <c r="M1373" s="249"/>
      <c r="N1373" s="249"/>
      <c r="O1373" s="249"/>
      <c r="P1373" s="249"/>
      <c r="Q1373" s="249"/>
      <c r="R1373" s="249"/>
      <c r="S1373" s="249"/>
      <c r="T1373" s="249"/>
      <c r="U1373" s="249"/>
      <c r="V1373" s="249"/>
    </row>
    <row r="1374">
      <c r="A1374" s="255" t="s">
        <v>2501</v>
      </c>
      <c r="B1374" s="248">
        <v>2024.0</v>
      </c>
      <c r="C1374" s="248" t="s">
        <v>2343</v>
      </c>
      <c r="D1374" s="248" t="s">
        <v>2331</v>
      </c>
      <c r="E1374" s="248" t="s">
        <v>2332</v>
      </c>
      <c r="F1374" s="248" t="s">
        <v>2327</v>
      </c>
      <c r="G1374" s="248" t="s">
        <v>34</v>
      </c>
      <c r="H1374" s="257" t="s">
        <v>2337</v>
      </c>
      <c r="I1374" s="248"/>
      <c r="J1374" s="248"/>
      <c r="K1374" s="249"/>
      <c r="L1374" s="248"/>
      <c r="M1374" s="249"/>
      <c r="N1374" s="249"/>
      <c r="O1374" s="249"/>
      <c r="P1374" s="249"/>
      <c r="Q1374" s="249"/>
      <c r="R1374" s="249"/>
      <c r="S1374" s="249"/>
      <c r="T1374" s="249"/>
      <c r="U1374" s="249"/>
      <c r="V1374" s="249"/>
    </row>
    <row r="1375">
      <c r="A1375" s="255" t="s">
        <v>2502</v>
      </c>
      <c r="B1375" s="248">
        <v>2024.0</v>
      </c>
      <c r="C1375" s="248" t="s">
        <v>2343</v>
      </c>
      <c r="D1375" s="248" t="s">
        <v>2331</v>
      </c>
      <c r="E1375" s="248" t="s">
        <v>2332</v>
      </c>
      <c r="F1375" s="248" t="s">
        <v>2327</v>
      </c>
      <c r="G1375" s="248" t="s">
        <v>34</v>
      </c>
      <c r="H1375" s="257" t="s">
        <v>2337</v>
      </c>
      <c r="I1375" s="248"/>
      <c r="J1375" s="248"/>
      <c r="K1375" s="249"/>
      <c r="L1375" s="248"/>
      <c r="M1375" s="249"/>
      <c r="N1375" s="249"/>
      <c r="O1375" s="249"/>
      <c r="P1375" s="249"/>
      <c r="Q1375" s="249"/>
      <c r="R1375" s="249"/>
      <c r="S1375" s="249"/>
      <c r="T1375" s="249"/>
      <c r="U1375" s="249"/>
      <c r="V1375" s="249"/>
    </row>
    <row r="1376">
      <c r="A1376" s="255" t="s">
        <v>2503</v>
      </c>
      <c r="B1376" s="248">
        <v>2024.0</v>
      </c>
      <c r="C1376" s="248" t="s">
        <v>2324</v>
      </c>
      <c r="D1376" s="248" t="s">
        <v>2331</v>
      </c>
      <c r="E1376" s="248" t="s">
        <v>2332</v>
      </c>
      <c r="F1376" s="248" t="s">
        <v>2327</v>
      </c>
      <c r="G1376" s="248" t="s">
        <v>34</v>
      </c>
      <c r="H1376" s="257" t="s">
        <v>2337</v>
      </c>
      <c r="I1376" s="248"/>
      <c r="J1376" s="248"/>
      <c r="K1376" s="249"/>
      <c r="L1376" s="248"/>
      <c r="M1376" s="249"/>
      <c r="N1376" s="249"/>
      <c r="O1376" s="249"/>
      <c r="P1376" s="249"/>
      <c r="Q1376" s="249"/>
      <c r="R1376" s="249"/>
      <c r="S1376" s="249"/>
      <c r="T1376" s="249"/>
      <c r="U1376" s="249"/>
      <c r="V1376" s="249"/>
    </row>
    <row r="1377">
      <c r="A1377" s="255" t="s">
        <v>2504</v>
      </c>
      <c r="B1377" s="248">
        <v>2024.0</v>
      </c>
      <c r="C1377" s="248" t="s">
        <v>2343</v>
      </c>
      <c r="D1377" s="248" t="s">
        <v>2331</v>
      </c>
      <c r="E1377" s="248" t="s">
        <v>2332</v>
      </c>
      <c r="F1377" s="248" t="s">
        <v>2327</v>
      </c>
      <c r="G1377" s="248" t="s">
        <v>34</v>
      </c>
      <c r="H1377" s="257" t="s">
        <v>2337</v>
      </c>
      <c r="I1377" s="248"/>
      <c r="J1377" s="248"/>
      <c r="K1377" s="249"/>
      <c r="L1377" s="248"/>
      <c r="M1377" s="249"/>
      <c r="N1377" s="249"/>
      <c r="O1377" s="249"/>
      <c r="P1377" s="249"/>
      <c r="Q1377" s="249"/>
      <c r="R1377" s="249"/>
      <c r="S1377" s="249"/>
      <c r="T1377" s="249"/>
      <c r="U1377" s="249"/>
      <c r="V1377" s="249"/>
    </row>
    <row r="1378">
      <c r="A1378" s="255" t="s">
        <v>2505</v>
      </c>
      <c r="B1378" s="248">
        <v>2024.0</v>
      </c>
      <c r="C1378" s="248" t="s">
        <v>2343</v>
      </c>
      <c r="D1378" s="248" t="s">
        <v>2331</v>
      </c>
      <c r="E1378" s="248" t="s">
        <v>2332</v>
      </c>
      <c r="F1378" s="248" t="s">
        <v>2327</v>
      </c>
      <c r="G1378" s="248" t="s">
        <v>34</v>
      </c>
      <c r="H1378" s="257" t="s">
        <v>2337</v>
      </c>
      <c r="I1378" s="248"/>
      <c r="J1378" s="248"/>
      <c r="K1378" s="249"/>
      <c r="L1378" s="248"/>
      <c r="M1378" s="249"/>
      <c r="N1378" s="249"/>
      <c r="O1378" s="249"/>
      <c r="P1378" s="249"/>
      <c r="Q1378" s="249"/>
      <c r="R1378" s="249"/>
      <c r="S1378" s="249"/>
      <c r="T1378" s="249"/>
      <c r="U1378" s="249"/>
      <c r="V1378" s="249"/>
    </row>
    <row r="1379">
      <c r="A1379" s="255" t="s">
        <v>2506</v>
      </c>
      <c r="B1379" s="248">
        <v>2024.0</v>
      </c>
      <c r="C1379" s="248" t="s">
        <v>2324</v>
      </c>
      <c r="D1379" s="248" t="s">
        <v>2331</v>
      </c>
      <c r="E1379" s="248" t="s">
        <v>2332</v>
      </c>
      <c r="F1379" s="248" t="s">
        <v>2327</v>
      </c>
      <c r="G1379" s="248" t="s">
        <v>34</v>
      </c>
      <c r="H1379" s="257" t="s">
        <v>2337</v>
      </c>
      <c r="I1379" s="248"/>
      <c r="J1379" s="248"/>
      <c r="K1379" s="249"/>
      <c r="L1379" s="248"/>
      <c r="M1379" s="249"/>
      <c r="N1379" s="249"/>
      <c r="O1379" s="249"/>
      <c r="P1379" s="249"/>
      <c r="Q1379" s="249"/>
      <c r="R1379" s="249"/>
      <c r="S1379" s="249"/>
      <c r="T1379" s="249"/>
      <c r="U1379" s="249"/>
      <c r="V1379" s="249"/>
    </row>
    <row r="1380">
      <c r="A1380" s="255" t="s">
        <v>2507</v>
      </c>
      <c r="B1380" s="248">
        <v>2024.0</v>
      </c>
      <c r="C1380" s="248" t="s">
        <v>2343</v>
      </c>
      <c r="D1380" s="248" t="s">
        <v>2331</v>
      </c>
      <c r="E1380" s="248" t="s">
        <v>2332</v>
      </c>
      <c r="F1380" s="248" t="s">
        <v>2336</v>
      </c>
      <c r="G1380" s="248" t="s">
        <v>34</v>
      </c>
      <c r="H1380" s="257" t="s">
        <v>2337</v>
      </c>
      <c r="I1380" s="248"/>
      <c r="J1380" s="248"/>
      <c r="K1380" s="249"/>
      <c r="L1380" s="248"/>
      <c r="M1380" s="249"/>
      <c r="N1380" s="249"/>
      <c r="O1380" s="249"/>
      <c r="P1380" s="249"/>
      <c r="Q1380" s="249"/>
      <c r="R1380" s="249"/>
      <c r="S1380" s="249"/>
      <c r="T1380" s="249"/>
      <c r="U1380" s="249"/>
      <c r="V1380" s="249"/>
    </row>
    <row r="1381">
      <c r="A1381" s="255" t="s">
        <v>2508</v>
      </c>
      <c r="B1381" s="248">
        <v>2024.0</v>
      </c>
      <c r="C1381" s="248" t="s">
        <v>2343</v>
      </c>
      <c r="D1381" s="248" t="s">
        <v>2331</v>
      </c>
      <c r="E1381" s="248" t="s">
        <v>2332</v>
      </c>
      <c r="F1381" s="248" t="s">
        <v>2327</v>
      </c>
      <c r="G1381" s="248" t="s">
        <v>34</v>
      </c>
      <c r="H1381" s="257" t="s">
        <v>2337</v>
      </c>
      <c r="I1381" s="248"/>
      <c r="J1381" s="248"/>
      <c r="K1381" s="249"/>
      <c r="L1381" s="248"/>
      <c r="M1381" s="249"/>
      <c r="N1381" s="249"/>
      <c r="O1381" s="249"/>
      <c r="P1381" s="249"/>
      <c r="Q1381" s="249"/>
      <c r="R1381" s="249"/>
      <c r="S1381" s="249"/>
      <c r="T1381" s="249"/>
      <c r="U1381" s="249"/>
      <c r="V1381" s="249"/>
    </row>
    <row r="1382">
      <c r="A1382" s="255" t="s">
        <v>2509</v>
      </c>
      <c r="B1382" s="248">
        <v>2024.0</v>
      </c>
      <c r="C1382" s="248" t="s">
        <v>2324</v>
      </c>
      <c r="D1382" s="248" t="s">
        <v>2331</v>
      </c>
      <c r="E1382" s="248" t="s">
        <v>2332</v>
      </c>
      <c r="F1382" s="248" t="s">
        <v>2327</v>
      </c>
      <c r="G1382" s="248" t="s">
        <v>34</v>
      </c>
      <c r="H1382" s="257" t="s">
        <v>2337</v>
      </c>
      <c r="I1382" s="248"/>
      <c r="J1382" s="248"/>
      <c r="K1382" s="249"/>
      <c r="L1382" s="248"/>
      <c r="M1382" s="249"/>
      <c r="N1382" s="249"/>
      <c r="O1382" s="249"/>
      <c r="P1382" s="249"/>
      <c r="Q1382" s="249"/>
      <c r="R1382" s="249"/>
      <c r="S1382" s="249"/>
      <c r="T1382" s="249"/>
      <c r="U1382" s="249"/>
      <c r="V1382" s="249"/>
    </row>
    <row r="1383">
      <c r="A1383" s="255" t="s">
        <v>2510</v>
      </c>
      <c r="B1383" s="248">
        <v>2024.0</v>
      </c>
      <c r="C1383" s="248" t="s">
        <v>2324</v>
      </c>
      <c r="D1383" s="248" t="s">
        <v>2331</v>
      </c>
      <c r="E1383" s="248" t="s">
        <v>2362</v>
      </c>
      <c r="F1383" s="248" t="s">
        <v>2327</v>
      </c>
      <c r="G1383" s="248" t="s">
        <v>34</v>
      </c>
      <c r="H1383" s="257" t="s">
        <v>2340</v>
      </c>
      <c r="I1383" s="248"/>
      <c r="J1383" s="248"/>
      <c r="K1383" s="249"/>
      <c r="L1383" s="248"/>
      <c r="M1383" s="249"/>
      <c r="N1383" s="249"/>
      <c r="O1383" s="249"/>
      <c r="P1383" s="249"/>
      <c r="Q1383" s="249"/>
      <c r="R1383" s="249"/>
      <c r="S1383" s="249"/>
      <c r="T1383" s="249"/>
      <c r="U1383" s="249"/>
      <c r="V1383" s="249"/>
    </row>
    <row r="1384">
      <c r="A1384" s="255" t="s">
        <v>2511</v>
      </c>
      <c r="B1384" s="248">
        <v>2024.0</v>
      </c>
      <c r="C1384" s="248" t="s">
        <v>2343</v>
      </c>
      <c r="D1384" s="248" t="s">
        <v>2331</v>
      </c>
      <c r="E1384" s="248" t="s">
        <v>2332</v>
      </c>
      <c r="F1384" s="248" t="s">
        <v>2327</v>
      </c>
      <c r="G1384" s="248" t="s">
        <v>34</v>
      </c>
      <c r="H1384" s="257" t="s">
        <v>2337</v>
      </c>
      <c r="I1384" s="248"/>
      <c r="J1384" s="248"/>
      <c r="K1384" s="249"/>
      <c r="L1384" s="248"/>
      <c r="M1384" s="249"/>
      <c r="N1384" s="249"/>
      <c r="O1384" s="249"/>
      <c r="P1384" s="249"/>
      <c r="Q1384" s="249"/>
      <c r="R1384" s="249"/>
      <c r="S1384" s="249"/>
      <c r="T1384" s="249"/>
      <c r="U1384" s="249"/>
      <c r="V1384" s="249"/>
    </row>
    <row r="1385">
      <c r="A1385" s="255" t="s">
        <v>2512</v>
      </c>
      <c r="B1385" s="248">
        <v>2024.0</v>
      </c>
      <c r="C1385" s="248" t="s">
        <v>2343</v>
      </c>
      <c r="D1385" s="248" t="s">
        <v>2331</v>
      </c>
      <c r="E1385" s="248" t="s">
        <v>2332</v>
      </c>
      <c r="F1385" s="248" t="s">
        <v>2327</v>
      </c>
      <c r="G1385" s="248" t="s">
        <v>34</v>
      </c>
      <c r="H1385" s="257" t="s">
        <v>2337</v>
      </c>
      <c r="I1385" s="248"/>
      <c r="J1385" s="248"/>
      <c r="K1385" s="249"/>
      <c r="L1385" s="248"/>
      <c r="M1385" s="249"/>
      <c r="N1385" s="249"/>
      <c r="O1385" s="249"/>
      <c r="P1385" s="249"/>
      <c r="Q1385" s="249"/>
      <c r="R1385" s="249"/>
      <c r="S1385" s="249"/>
      <c r="T1385" s="249"/>
      <c r="U1385" s="249"/>
      <c r="V1385" s="249"/>
    </row>
    <row r="1386">
      <c r="A1386" s="255" t="s">
        <v>2513</v>
      </c>
      <c r="B1386" s="248">
        <v>2024.0</v>
      </c>
      <c r="C1386" s="248" t="s">
        <v>2343</v>
      </c>
      <c r="D1386" s="248" t="s">
        <v>2331</v>
      </c>
      <c r="E1386" s="248" t="s">
        <v>2332</v>
      </c>
      <c r="F1386" s="248" t="s">
        <v>2327</v>
      </c>
      <c r="G1386" s="248" t="s">
        <v>34</v>
      </c>
      <c r="H1386" s="257" t="s">
        <v>2337</v>
      </c>
      <c r="I1386" s="248"/>
      <c r="J1386" s="248"/>
      <c r="K1386" s="249"/>
      <c r="L1386" s="248"/>
      <c r="M1386" s="249"/>
      <c r="N1386" s="249"/>
      <c r="O1386" s="249"/>
      <c r="P1386" s="249"/>
      <c r="Q1386" s="249"/>
      <c r="R1386" s="249"/>
      <c r="S1386" s="249"/>
      <c r="T1386" s="249"/>
      <c r="U1386" s="249"/>
      <c r="V1386" s="249"/>
    </row>
    <row r="1387">
      <c r="A1387" s="255" t="s">
        <v>2514</v>
      </c>
      <c r="B1387" s="248">
        <v>2024.0</v>
      </c>
      <c r="C1387" s="248" t="s">
        <v>2343</v>
      </c>
      <c r="D1387" s="248" t="s">
        <v>2331</v>
      </c>
      <c r="E1387" s="248" t="s">
        <v>2332</v>
      </c>
      <c r="F1387" s="248" t="s">
        <v>2327</v>
      </c>
      <c r="G1387" s="248" t="s">
        <v>34</v>
      </c>
      <c r="H1387" s="257" t="s">
        <v>2337</v>
      </c>
      <c r="I1387" s="248"/>
      <c r="J1387" s="248"/>
      <c r="K1387" s="249"/>
      <c r="L1387" s="248"/>
      <c r="M1387" s="249"/>
      <c r="N1387" s="249"/>
      <c r="O1387" s="249"/>
      <c r="P1387" s="249"/>
      <c r="Q1387" s="249"/>
      <c r="R1387" s="249"/>
      <c r="S1387" s="249"/>
      <c r="T1387" s="249"/>
      <c r="U1387" s="249"/>
      <c r="V1387" s="249"/>
    </row>
    <row r="1388">
      <c r="A1388" s="255" t="s">
        <v>2515</v>
      </c>
      <c r="B1388" s="248">
        <v>2024.0</v>
      </c>
      <c r="C1388" s="248" t="s">
        <v>2343</v>
      </c>
      <c r="D1388" s="248" t="s">
        <v>2331</v>
      </c>
      <c r="E1388" s="248" t="s">
        <v>2335</v>
      </c>
      <c r="F1388" s="248" t="s">
        <v>2327</v>
      </c>
      <c r="G1388" s="248" t="s">
        <v>34</v>
      </c>
      <c r="H1388" s="257" t="s">
        <v>2337</v>
      </c>
      <c r="I1388" s="248"/>
      <c r="J1388" s="248"/>
      <c r="K1388" s="249"/>
      <c r="L1388" s="248"/>
      <c r="M1388" s="249"/>
      <c r="N1388" s="249"/>
      <c r="O1388" s="249"/>
      <c r="P1388" s="249"/>
      <c r="Q1388" s="249"/>
      <c r="R1388" s="249"/>
      <c r="S1388" s="249"/>
      <c r="T1388" s="249"/>
      <c r="U1388" s="249"/>
      <c r="V1388" s="249"/>
    </row>
    <row r="1389">
      <c r="A1389" s="255" t="s">
        <v>2516</v>
      </c>
      <c r="B1389" s="248">
        <v>2024.0</v>
      </c>
      <c r="C1389" s="248" t="s">
        <v>2343</v>
      </c>
      <c r="D1389" s="248" t="s">
        <v>2331</v>
      </c>
      <c r="E1389" s="248" t="s">
        <v>2335</v>
      </c>
      <c r="F1389" s="248" t="s">
        <v>2327</v>
      </c>
      <c r="G1389" s="248" t="s">
        <v>34</v>
      </c>
      <c r="H1389" s="257" t="s">
        <v>2337</v>
      </c>
      <c r="I1389" s="248"/>
      <c r="J1389" s="248"/>
      <c r="K1389" s="249"/>
      <c r="L1389" s="248"/>
      <c r="M1389" s="249"/>
      <c r="N1389" s="249"/>
      <c r="O1389" s="249"/>
      <c r="P1389" s="249"/>
      <c r="Q1389" s="249"/>
      <c r="R1389" s="249"/>
      <c r="S1389" s="249"/>
      <c r="T1389" s="249"/>
      <c r="U1389" s="249"/>
      <c r="V1389" s="249"/>
    </row>
    <row r="1390">
      <c r="A1390" s="255" t="s">
        <v>2517</v>
      </c>
      <c r="B1390" s="248">
        <v>2024.0</v>
      </c>
      <c r="C1390" s="248" t="s">
        <v>2343</v>
      </c>
      <c r="D1390" s="248" t="s">
        <v>2331</v>
      </c>
      <c r="E1390" s="248" t="s">
        <v>2332</v>
      </c>
      <c r="F1390" s="248" t="s">
        <v>2327</v>
      </c>
      <c r="G1390" s="248" t="s">
        <v>34</v>
      </c>
      <c r="H1390" s="257" t="s">
        <v>2337</v>
      </c>
      <c r="I1390" s="248"/>
      <c r="J1390" s="248"/>
      <c r="K1390" s="249"/>
      <c r="L1390" s="248"/>
      <c r="M1390" s="249"/>
      <c r="N1390" s="249"/>
      <c r="O1390" s="249"/>
      <c r="P1390" s="249"/>
      <c r="Q1390" s="249"/>
      <c r="R1390" s="249"/>
      <c r="S1390" s="249"/>
      <c r="T1390" s="249"/>
      <c r="U1390" s="249"/>
      <c r="V1390" s="249"/>
    </row>
    <row r="1391">
      <c r="A1391" s="255" t="s">
        <v>2518</v>
      </c>
      <c r="B1391" s="248">
        <v>2024.0</v>
      </c>
      <c r="C1391" s="248" t="s">
        <v>2343</v>
      </c>
      <c r="D1391" s="248" t="s">
        <v>2331</v>
      </c>
      <c r="E1391" s="248" t="s">
        <v>2332</v>
      </c>
      <c r="F1391" s="248" t="s">
        <v>2327</v>
      </c>
      <c r="G1391" s="248" t="s">
        <v>34</v>
      </c>
      <c r="H1391" s="257" t="s">
        <v>2337</v>
      </c>
      <c r="I1391" s="248"/>
      <c r="J1391" s="248"/>
      <c r="K1391" s="249"/>
      <c r="L1391" s="248"/>
      <c r="M1391" s="249"/>
      <c r="N1391" s="249"/>
      <c r="O1391" s="249"/>
      <c r="P1391" s="249"/>
      <c r="Q1391" s="249"/>
      <c r="R1391" s="249"/>
      <c r="S1391" s="249"/>
      <c r="T1391" s="249"/>
      <c r="U1391" s="249"/>
      <c r="V1391" s="249"/>
    </row>
    <row r="1392">
      <c r="A1392" s="255" t="s">
        <v>2519</v>
      </c>
      <c r="B1392" s="248">
        <v>2024.0</v>
      </c>
      <c r="C1392" s="248" t="s">
        <v>2343</v>
      </c>
      <c r="D1392" s="248" t="s">
        <v>2331</v>
      </c>
      <c r="E1392" s="248" t="s">
        <v>2332</v>
      </c>
      <c r="F1392" s="248" t="s">
        <v>2327</v>
      </c>
      <c r="G1392" s="248" t="s">
        <v>34</v>
      </c>
      <c r="H1392" s="257" t="s">
        <v>2337</v>
      </c>
      <c r="I1392" s="248"/>
      <c r="J1392" s="248"/>
      <c r="K1392" s="249"/>
      <c r="L1392" s="248"/>
      <c r="M1392" s="249"/>
      <c r="N1392" s="249"/>
      <c r="O1392" s="249"/>
      <c r="P1392" s="249"/>
      <c r="Q1392" s="249"/>
      <c r="R1392" s="249"/>
      <c r="S1392" s="249"/>
      <c r="T1392" s="249"/>
      <c r="U1392" s="249"/>
      <c r="V1392" s="249"/>
    </row>
    <row r="1393">
      <c r="A1393" s="255" t="s">
        <v>2520</v>
      </c>
      <c r="B1393" s="248">
        <v>2024.0</v>
      </c>
      <c r="C1393" s="248" t="s">
        <v>2343</v>
      </c>
      <c r="D1393" s="248" t="s">
        <v>2331</v>
      </c>
      <c r="E1393" s="248" t="s">
        <v>2332</v>
      </c>
      <c r="F1393" s="248" t="s">
        <v>2327</v>
      </c>
      <c r="G1393" s="248" t="s">
        <v>34</v>
      </c>
      <c r="H1393" s="257" t="s">
        <v>2337</v>
      </c>
      <c r="I1393" s="248"/>
      <c r="J1393" s="248"/>
      <c r="K1393" s="249"/>
      <c r="L1393" s="248"/>
      <c r="M1393" s="249"/>
      <c r="N1393" s="249"/>
      <c r="O1393" s="249"/>
      <c r="P1393" s="249"/>
      <c r="Q1393" s="249"/>
      <c r="R1393" s="249"/>
      <c r="S1393" s="249"/>
      <c r="T1393" s="249"/>
      <c r="U1393" s="249"/>
      <c r="V1393" s="249"/>
    </row>
    <row r="1394">
      <c r="A1394" s="255" t="s">
        <v>2521</v>
      </c>
      <c r="B1394" s="248">
        <v>2024.0</v>
      </c>
      <c r="C1394" s="248" t="s">
        <v>2343</v>
      </c>
      <c r="D1394" s="248" t="s">
        <v>2331</v>
      </c>
      <c r="E1394" s="248" t="s">
        <v>2335</v>
      </c>
      <c r="F1394" s="248" t="s">
        <v>2327</v>
      </c>
      <c r="G1394" s="248" t="s">
        <v>34</v>
      </c>
      <c r="H1394" s="257" t="s">
        <v>2337</v>
      </c>
      <c r="I1394" s="248"/>
      <c r="J1394" s="248"/>
      <c r="K1394" s="249"/>
      <c r="L1394" s="248"/>
      <c r="M1394" s="249"/>
      <c r="N1394" s="249"/>
      <c r="O1394" s="249"/>
      <c r="P1394" s="249"/>
      <c r="Q1394" s="249"/>
      <c r="R1394" s="249"/>
      <c r="S1394" s="249"/>
      <c r="T1394" s="249"/>
      <c r="U1394" s="249"/>
      <c r="V1394" s="249"/>
    </row>
    <row r="1395">
      <c r="A1395" s="255" t="s">
        <v>2522</v>
      </c>
      <c r="B1395" s="248">
        <v>2024.0</v>
      </c>
      <c r="C1395" s="248" t="s">
        <v>2343</v>
      </c>
      <c r="D1395" s="248" t="s">
        <v>2331</v>
      </c>
      <c r="E1395" s="248" t="s">
        <v>2335</v>
      </c>
      <c r="F1395" s="248" t="s">
        <v>2327</v>
      </c>
      <c r="G1395" s="248" t="s">
        <v>34</v>
      </c>
      <c r="H1395" s="257" t="s">
        <v>2337</v>
      </c>
      <c r="I1395" s="248"/>
      <c r="J1395" s="248"/>
      <c r="K1395" s="249"/>
      <c r="L1395" s="248"/>
      <c r="M1395" s="249"/>
      <c r="N1395" s="249"/>
      <c r="O1395" s="249"/>
      <c r="P1395" s="249"/>
      <c r="Q1395" s="249"/>
      <c r="R1395" s="249"/>
      <c r="S1395" s="249"/>
      <c r="T1395" s="249"/>
      <c r="U1395" s="249"/>
      <c r="V1395" s="249"/>
    </row>
    <row r="1396">
      <c r="A1396" s="255" t="s">
        <v>2523</v>
      </c>
      <c r="B1396" s="248">
        <v>2024.0</v>
      </c>
      <c r="C1396" s="248" t="s">
        <v>2343</v>
      </c>
      <c r="D1396" s="248" t="s">
        <v>2331</v>
      </c>
      <c r="E1396" s="248" t="s">
        <v>2335</v>
      </c>
      <c r="F1396" s="248" t="s">
        <v>2327</v>
      </c>
      <c r="G1396" s="248" t="s">
        <v>34</v>
      </c>
      <c r="H1396" s="257" t="s">
        <v>2337</v>
      </c>
      <c r="I1396" s="248"/>
      <c r="J1396" s="248"/>
      <c r="K1396" s="249"/>
      <c r="L1396" s="248"/>
      <c r="M1396" s="249"/>
      <c r="N1396" s="249"/>
      <c r="O1396" s="249"/>
      <c r="P1396" s="249"/>
      <c r="Q1396" s="249"/>
      <c r="R1396" s="249"/>
      <c r="S1396" s="249"/>
      <c r="T1396" s="249"/>
      <c r="U1396" s="249"/>
      <c r="V1396" s="249"/>
    </row>
    <row r="1397">
      <c r="A1397" s="255" t="s">
        <v>2524</v>
      </c>
      <c r="B1397" s="248">
        <v>2024.0</v>
      </c>
      <c r="C1397" s="248" t="s">
        <v>2343</v>
      </c>
      <c r="D1397" s="248" t="s">
        <v>2331</v>
      </c>
      <c r="E1397" s="248" t="s">
        <v>2332</v>
      </c>
      <c r="F1397" s="248" t="s">
        <v>2336</v>
      </c>
      <c r="G1397" s="248" t="s">
        <v>34</v>
      </c>
      <c r="H1397" s="257" t="s">
        <v>2337</v>
      </c>
      <c r="I1397" s="248"/>
      <c r="J1397" s="248"/>
      <c r="K1397" s="249"/>
      <c r="L1397" s="248"/>
      <c r="M1397" s="249"/>
      <c r="N1397" s="249"/>
      <c r="O1397" s="249"/>
      <c r="P1397" s="249"/>
      <c r="Q1397" s="249"/>
      <c r="R1397" s="249"/>
      <c r="S1397" s="249"/>
      <c r="T1397" s="249"/>
      <c r="U1397" s="249"/>
      <c r="V1397" s="249"/>
    </row>
    <row r="1398">
      <c r="A1398" s="255" t="s">
        <v>2525</v>
      </c>
      <c r="B1398" s="248">
        <v>2024.0</v>
      </c>
      <c r="C1398" s="248" t="s">
        <v>2343</v>
      </c>
      <c r="D1398" s="248" t="s">
        <v>2331</v>
      </c>
      <c r="E1398" s="248" t="s">
        <v>2335</v>
      </c>
      <c r="F1398" s="248" t="s">
        <v>2327</v>
      </c>
      <c r="G1398" s="248" t="s">
        <v>34</v>
      </c>
      <c r="H1398" s="257" t="s">
        <v>2337</v>
      </c>
      <c r="I1398" s="248"/>
      <c r="J1398" s="248"/>
      <c r="K1398" s="249"/>
      <c r="L1398" s="248"/>
      <c r="M1398" s="249"/>
      <c r="N1398" s="249"/>
      <c r="O1398" s="249"/>
      <c r="P1398" s="249"/>
      <c r="Q1398" s="249"/>
      <c r="R1398" s="249"/>
      <c r="S1398" s="249"/>
      <c r="T1398" s="249"/>
      <c r="U1398" s="249"/>
      <c r="V1398" s="249"/>
    </row>
    <row r="1399">
      <c r="A1399" s="255" t="s">
        <v>2526</v>
      </c>
      <c r="B1399" s="248">
        <v>2024.0</v>
      </c>
      <c r="C1399" s="248" t="s">
        <v>2343</v>
      </c>
      <c r="D1399" s="248" t="s">
        <v>2331</v>
      </c>
      <c r="E1399" s="248" t="s">
        <v>2332</v>
      </c>
      <c r="F1399" s="248" t="s">
        <v>2327</v>
      </c>
      <c r="G1399" s="248" t="s">
        <v>34</v>
      </c>
      <c r="H1399" s="257" t="s">
        <v>2337</v>
      </c>
      <c r="I1399" s="248"/>
      <c r="J1399" s="248"/>
      <c r="K1399" s="249"/>
      <c r="L1399" s="248"/>
      <c r="M1399" s="249"/>
      <c r="N1399" s="249"/>
      <c r="O1399" s="249"/>
      <c r="P1399" s="249"/>
      <c r="Q1399" s="249"/>
      <c r="R1399" s="249"/>
      <c r="S1399" s="249"/>
      <c r="T1399" s="249"/>
      <c r="U1399" s="249"/>
      <c r="V1399" s="249"/>
    </row>
    <row r="1400">
      <c r="A1400" s="255" t="s">
        <v>2527</v>
      </c>
      <c r="B1400" s="248">
        <v>2024.0</v>
      </c>
      <c r="C1400" s="248" t="s">
        <v>2343</v>
      </c>
      <c r="D1400" s="248" t="s">
        <v>2331</v>
      </c>
      <c r="E1400" s="248" t="s">
        <v>2332</v>
      </c>
      <c r="F1400" s="248" t="s">
        <v>2327</v>
      </c>
      <c r="G1400" s="248" t="s">
        <v>34</v>
      </c>
      <c r="H1400" s="257" t="s">
        <v>2337</v>
      </c>
      <c r="I1400" s="248"/>
      <c r="J1400" s="248"/>
      <c r="K1400" s="249"/>
      <c r="L1400" s="248"/>
      <c r="M1400" s="249"/>
      <c r="N1400" s="249"/>
      <c r="O1400" s="249"/>
      <c r="P1400" s="249"/>
      <c r="Q1400" s="249"/>
      <c r="R1400" s="249"/>
      <c r="S1400" s="249"/>
      <c r="T1400" s="249"/>
      <c r="U1400" s="249"/>
      <c r="V1400" s="249"/>
    </row>
    <row r="1401">
      <c r="A1401" s="255" t="s">
        <v>2528</v>
      </c>
      <c r="B1401" s="248">
        <v>2024.0</v>
      </c>
      <c r="C1401" s="248" t="s">
        <v>2343</v>
      </c>
      <c r="D1401" s="248" t="s">
        <v>2331</v>
      </c>
      <c r="E1401" s="248" t="s">
        <v>2335</v>
      </c>
      <c r="F1401" s="248" t="s">
        <v>2336</v>
      </c>
      <c r="G1401" s="248" t="s">
        <v>34</v>
      </c>
      <c r="H1401" s="257" t="s">
        <v>2337</v>
      </c>
      <c r="I1401" s="248"/>
      <c r="J1401" s="248"/>
      <c r="K1401" s="249"/>
      <c r="L1401" s="248"/>
      <c r="M1401" s="249"/>
      <c r="N1401" s="249"/>
      <c r="O1401" s="249"/>
      <c r="P1401" s="249"/>
      <c r="Q1401" s="249"/>
      <c r="R1401" s="249"/>
      <c r="S1401" s="249"/>
      <c r="T1401" s="249"/>
      <c r="U1401" s="249"/>
      <c r="V1401" s="249"/>
    </row>
    <row r="1402">
      <c r="A1402" s="255" t="s">
        <v>2529</v>
      </c>
      <c r="B1402" s="248">
        <v>2024.0</v>
      </c>
      <c r="C1402" s="248" t="s">
        <v>2343</v>
      </c>
      <c r="D1402" s="248" t="s">
        <v>2331</v>
      </c>
      <c r="E1402" s="248" t="s">
        <v>2332</v>
      </c>
      <c r="F1402" s="248" t="s">
        <v>2336</v>
      </c>
      <c r="G1402" s="248" t="s">
        <v>34</v>
      </c>
      <c r="H1402" s="257" t="s">
        <v>2337</v>
      </c>
      <c r="I1402" s="248"/>
      <c r="J1402" s="248"/>
      <c r="K1402" s="249"/>
      <c r="L1402" s="248"/>
      <c r="M1402" s="249"/>
      <c r="N1402" s="249"/>
      <c r="O1402" s="249"/>
      <c r="P1402" s="249"/>
      <c r="Q1402" s="249"/>
      <c r="R1402" s="249"/>
      <c r="S1402" s="249"/>
      <c r="T1402" s="249"/>
      <c r="U1402" s="249"/>
      <c r="V1402" s="249"/>
    </row>
    <row r="1403">
      <c r="A1403" s="255" t="s">
        <v>2530</v>
      </c>
      <c r="B1403" s="248">
        <v>2024.0</v>
      </c>
      <c r="C1403" s="248" t="s">
        <v>2343</v>
      </c>
      <c r="D1403" s="248" t="s">
        <v>2331</v>
      </c>
      <c r="E1403" s="248" t="s">
        <v>2335</v>
      </c>
      <c r="F1403" s="248" t="s">
        <v>2327</v>
      </c>
      <c r="G1403" s="248" t="s">
        <v>34</v>
      </c>
      <c r="H1403" s="257" t="s">
        <v>2337</v>
      </c>
      <c r="I1403" s="248"/>
      <c r="J1403" s="248"/>
      <c r="K1403" s="249"/>
      <c r="L1403" s="248"/>
      <c r="M1403" s="249"/>
      <c r="N1403" s="249"/>
      <c r="O1403" s="249"/>
      <c r="P1403" s="249"/>
      <c r="Q1403" s="249"/>
      <c r="R1403" s="249"/>
      <c r="S1403" s="249"/>
      <c r="T1403" s="249"/>
      <c r="U1403" s="249"/>
      <c r="V1403" s="249"/>
    </row>
    <row r="1404">
      <c r="A1404" s="255" t="s">
        <v>2531</v>
      </c>
      <c r="B1404" s="248">
        <v>2024.0</v>
      </c>
      <c r="C1404" s="248" t="s">
        <v>2343</v>
      </c>
      <c r="D1404" s="248" t="s">
        <v>2331</v>
      </c>
      <c r="E1404" s="248" t="s">
        <v>2332</v>
      </c>
      <c r="F1404" s="248" t="s">
        <v>2327</v>
      </c>
      <c r="G1404" s="248" t="s">
        <v>34</v>
      </c>
      <c r="H1404" s="257" t="s">
        <v>2337</v>
      </c>
      <c r="I1404" s="248"/>
      <c r="J1404" s="248"/>
      <c r="K1404" s="249"/>
      <c r="L1404" s="248"/>
      <c r="M1404" s="249"/>
      <c r="N1404" s="249"/>
      <c r="O1404" s="249"/>
      <c r="P1404" s="249"/>
      <c r="Q1404" s="249"/>
      <c r="R1404" s="249"/>
      <c r="S1404" s="249"/>
      <c r="T1404" s="249"/>
      <c r="U1404" s="249"/>
      <c r="V1404" s="249"/>
    </row>
    <row r="1405">
      <c r="A1405" s="255" t="s">
        <v>2532</v>
      </c>
      <c r="B1405" s="248">
        <v>2024.0</v>
      </c>
      <c r="C1405" s="248" t="s">
        <v>2343</v>
      </c>
      <c r="D1405" s="248" t="s">
        <v>2331</v>
      </c>
      <c r="E1405" s="248" t="s">
        <v>2332</v>
      </c>
      <c r="F1405" s="248" t="s">
        <v>2327</v>
      </c>
      <c r="G1405" s="248" t="s">
        <v>34</v>
      </c>
      <c r="H1405" s="257" t="s">
        <v>2337</v>
      </c>
      <c r="I1405" s="248"/>
      <c r="J1405" s="248"/>
      <c r="K1405" s="249"/>
      <c r="L1405" s="248"/>
      <c r="M1405" s="249"/>
      <c r="N1405" s="249"/>
      <c r="O1405" s="249"/>
      <c r="P1405" s="249"/>
      <c r="Q1405" s="249"/>
      <c r="R1405" s="249"/>
      <c r="S1405" s="249"/>
      <c r="T1405" s="249"/>
      <c r="U1405" s="249"/>
      <c r="V1405" s="249"/>
    </row>
    <row r="1406">
      <c r="A1406" s="255" t="s">
        <v>2533</v>
      </c>
      <c r="B1406" s="248">
        <v>2024.0</v>
      </c>
      <c r="C1406" s="248" t="s">
        <v>2324</v>
      </c>
      <c r="D1406" s="248" t="s">
        <v>2331</v>
      </c>
      <c r="E1406" s="248" t="s">
        <v>2332</v>
      </c>
      <c r="F1406" s="248" t="s">
        <v>2336</v>
      </c>
      <c r="G1406" s="248" t="s">
        <v>34</v>
      </c>
      <c r="H1406" s="257" t="s">
        <v>2337</v>
      </c>
      <c r="I1406" s="248"/>
      <c r="J1406" s="248"/>
      <c r="K1406" s="249"/>
      <c r="L1406" s="248"/>
      <c r="M1406" s="249"/>
      <c r="N1406" s="249"/>
      <c r="O1406" s="249"/>
      <c r="P1406" s="249"/>
      <c r="Q1406" s="249"/>
      <c r="R1406" s="249"/>
      <c r="S1406" s="249"/>
      <c r="T1406" s="249"/>
      <c r="U1406" s="249"/>
      <c r="V1406" s="249"/>
    </row>
    <row r="1407">
      <c r="A1407" s="255" t="s">
        <v>2534</v>
      </c>
      <c r="B1407" s="248">
        <v>2024.0</v>
      </c>
      <c r="C1407" s="248" t="s">
        <v>2343</v>
      </c>
      <c r="D1407" s="248" t="s">
        <v>2331</v>
      </c>
      <c r="E1407" s="248" t="s">
        <v>2335</v>
      </c>
      <c r="F1407" s="248" t="s">
        <v>2327</v>
      </c>
      <c r="G1407" s="248" t="s">
        <v>34</v>
      </c>
      <c r="H1407" s="257" t="s">
        <v>2337</v>
      </c>
      <c r="I1407" s="248"/>
      <c r="J1407" s="248"/>
      <c r="K1407" s="249"/>
      <c r="L1407" s="248"/>
      <c r="M1407" s="249"/>
      <c r="N1407" s="249"/>
      <c r="O1407" s="249"/>
      <c r="P1407" s="249"/>
      <c r="Q1407" s="249"/>
      <c r="R1407" s="249"/>
      <c r="S1407" s="249"/>
      <c r="T1407" s="249"/>
      <c r="U1407" s="249"/>
      <c r="V1407" s="249"/>
    </row>
    <row r="1408">
      <c r="A1408" s="255" t="s">
        <v>2535</v>
      </c>
      <c r="B1408" s="248">
        <v>2024.0</v>
      </c>
      <c r="C1408" s="248" t="s">
        <v>2343</v>
      </c>
      <c r="D1408" s="248" t="s">
        <v>2331</v>
      </c>
      <c r="E1408" s="248" t="s">
        <v>2332</v>
      </c>
      <c r="F1408" s="248" t="s">
        <v>2336</v>
      </c>
      <c r="G1408" s="248" t="s">
        <v>34</v>
      </c>
      <c r="H1408" s="257" t="s">
        <v>2337</v>
      </c>
      <c r="I1408" s="248"/>
      <c r="J1408" s="248"/>
      <c r="K1408" s="249"/>
      <c r="L1408" s="248"/>
      <c r="M1408" s="249"/>
      <c r="N1408" s="249"/>
      <c r="O1408" s="249"/>
      <c r="P1408" s="249"/>
      <c r="Q1408" s="249"/>
      <c r="R1408" s="249"/>
      <c r="S1408" s="249"/>
      <c r="T1408" s="249"/>
      <c r="U1408" s="249"/>
      <c r="V1408" s="249"/>
    </row>
    <row r="1409">
      <c r="A1409" s="255" t="s">
        <v>2536</v>
      </c>
      <c r="B1409" s="248">
        <v>2024.0</v>
      </c>
      <c r="C1409" s="248" t="s">
        <v>2343</v>
      </c>
      <c r="D1409" s="248" t="s">
        <v>2331</v>
      </c>
      <c r="E1409" s="248" t="s">
        <v>2332</v>
      </c>
      <c r="F1409" s="248" t="s">
        <v>2336</v>
      </c>
      <c r="G1409" s="248" t="s">
        <v>34</v>
      </c>
      <c r="H1409" s="257" t="s">
        <v>2337</v>
      </c>
      <c r="I1409" s="248"/>
      <c r="J1409" s="248"/>
      <c r="K1409" s="249"/>
      <c r="L1409" s="248"/>
      <c r="M1409" s="249"/>
      <c r="N1409" s="249"/>
      <c r="O1409" s="249"/>
      <c r="P1409" s="249"/>
      <c r="Q1409" s="249"/>
      <c r="R1409" s="249"/>
      <c r="S1409" s="249"/>
      <c r="T1409" s="249"/>
      <c r="U1409" s="249"/>
      <c r="V1409" s="249"/>
    </row>
    <row r="1410">
      <c r="A1410" s="255" t="s">
        <v>2537</v>
      </c>
      <c r="B1410" s="248">
        <v>2024.0</v>
      </c>
      <c r="C1410" s="248" t="s">
        <v>2343</v>
      </c>
      <c r="D1410" s="248" t="s">
        <v>2331</v>
      </c>
      <c r="E1410" s="248" t="s">
        <v>2332</v>
      </c>
      <c r="F1410" s="248" t="s">
        <v>2327</v>
      </c>
      <c r="G1410" s="248" t="s">
        <v>34</v>
      </c>
      <c r="H1410" s="257" t="s">
        <v>2337</v>
      </c>
      <c r="I1410" s="248"/>
      <c r="J1410" s="248"/>
      <c r="K1410" s="249"/>
      <c r="L1410" s="248"/>
      <c r="M1410" s="249"/>
      <c r="N1410" s="249"/>
      <c r="O1410" s="249"/>
      <c r="P1410" s="249"/>
      <c r="Q1410" s="249"/>
      <c r="R1410" s="249"/>
      <c r="S1410" s="249"/>
      <c r="T1410" s="249"/>
      <c r="U1410" s="249"/>
      <c r="V1410" s="249"/>
    </row>
    <row r="1411">
      <c r="A1411" s="255" t="s">
        <v>2538</v>
      </c>
      <c r="B1411" s="248">
        <v>2024.0</v>
      </c>
      <c r="C1411" s="248" t="s">
        <v>2343</v>
      </c>
      <c r="D1411" s="248" t="s">
        <v>2331</v>
      </c>
      <c r="E1411" s="248" t="s">
        <v>2332</v>
      </c>
      <c r="F1411" s="248" t="s">
        <v>2336</v>
      </c>
      <c r="G1411" s="248" t="s">
        <v>34</v>
      </c>
      <c r="H1411" s="257" t="s">
        <v>2337</v>
      </c>
      <c r="I1411" s="248"/>
      <c r="J1411" s="248"/>
      <c r="K1411" s="249"/>
      <c r="L1411" s="248"/>
      <c r="M1411" s="249"/>
      <c r="N1411" s="249"/>
      <c r="O1411" s="249"/>
      <c r="P1411" s="249"/>
      <c r="Q1411" s="249"/>
      <c r="R1411" s="249"/>
      <c r="S1411" s="249"/>
      <c r="T1411" s="249"/>
      <c r="U1411" s="249"/>
      <c r="V1411" s="249"/>
    </row>
    <row r="1412">
      <c r="A1412" s="255" t="s">
        <v>2539</v>
      </c>
      <c r="B1412" s="248">
        <v>2024.0</v>
      </c>
      <c r="C1412" s="248" t="s">
        <v>2343</v>
      </c>
      <c r="D1412" s="248" t="s">
        <v>2331</v>
      </c>
      <c r="E1412" s="248" t="s">
        <v>2332</v>
      </c>
      <c r="F1412" s="248" t="s">
        <v>2327</v>
      </c>
      <c r="G1412" s="248" t="s">
        <v>34</v>
      </c>
      <c r="H1412" s="257" t="s">
        <v>2337</v>
      </c>
      <c r="I1412" s="248"/>
      <c r="J1412" s="248"/>
      <c r="K1412" s="249"/>
      <c r="L1412" s="248"/>
      <c r="M1412" s="249"/>
      <c r="N1412" s="249"/>
      <c r="O1412" s="249"/>
      <c r="P1412" s="249"/>
      <c r="Q1412" s="249"/>
      <c r="R1412" s="249"/>
      <c r="S1412" s="249"/>
      <c r="T1412" s="249"/>
      <c r="U1412" s="249"/>
      <c r="V1412" s="249"/>
    </row>
    <row r="1413">
      <c r="A1413" s="255" t="s">
        <v>2540</v>
      </c>
      <c r="B1413" s="248">
        <v>2024.0</v>
      </c>
      <c r="C1413" s="248" t="s">
        <v>2343</v>
      </c>
      <c r="D1413" s="248" t="s">
        <v>2331</v>
      </c>
      <c r="E1413" s="248" t="s">
        <v>2332</v>
      </c>
      <c r="F1413" s="248" t="s">
        <v>2327</v>
      </c>
      <c r="G1413" s="248" t="s">
        <v>34</v>
      </c>
      <c r="H1413" s="257" t="s">
        <v>2337</v>
      </c>
      <c r="I1413" s="248"/>
      <c r="J1413" s="248"/>
      <c r="K1413" s="249"/>
      <c r="L1413" s="248"/>
      <c r="M1413" s="249"/>
      <c r="N1413" s="249"/>
      <c r="O1413" s="249"/>
      <c r="P1413" s="249"/>
      <c r="Q1413" s="249"/>
      <c r="R1413" s="249"/>
      <c r="S1413" s="249"/>
      <c r="T1413" s="249"/>
      <c r="U1413" s="249"/>
      <c r="V1413" s="249"/>
    </row>
    <row r="1414">
      <c r="A1414" s="255" t="s">
        <v>2541</v>
      </c>
      <c r="B1414" s="248">
        <v>2024.0</v>
      </c>
      <c r="C1414" s="248" t="s">
        <v>2343</v>
      </c>
      <c r="D1414" s="248" t="s">
        <v>2331</v>
      </c>
      <c r="E1414" s="248" t="s">
        <v>2335</v>
      </c>
      <c r="F1414" s="248" t="s">
        <v>2327</v>
      </c>
      <c r="G1414" s="248" t="s">
        <v>34</v>
      </c>
      <c r="H1414" s="257" t="s">
        <v>2337</v>
      </c>
      <c r="I1414" s="248"/>
      <c r="J1414" s="248"/>
      <c r="K1414" s="249"/>
      <c r="L1414" s="248"/>
      <c r="M1414" s="249"/>
      <c r="N1414" s="249"/>
      <c r="O1414" s="249"/>
      <c r="P1414" s="249"/>
      <c r="Q1414" s="249"/>
      <c r="R1414" s="249"/>
      <c r="S1414" s="249"/>
      <c r="T1414" s="249"/>
      <c r="U1414" s="249"/>
      <c r="V1414" s="249"/>
    </row>
    <row r="1415">
      <c r="A1415" s="255" t="s">
        <v>2542</v>
      </c>
      <c r="B1415" s="248">
        <v>2024.0</v>
      </c>
      <c r="C1415" s="248" t="s">
        <v>2343</v>
      </c>
      <c r="D1415" s="248" t="s">
        <v>2331</v>
      </c>
      <c r="E1415" s="248" t="s">
        <v>2335</v>
      </c>
      <c r="F1415" s="248" t="s">
        <v>2336</v>
      </c>
      <c r="G1415" s="248" t="s">
        <v>34</v>
      </c>
      <c r="H1415" s="257" t="s">
        <v>2337</v>
      </c>
      <c r="I1415" s="248"/>
      <c r="J1415" s="248"/>
      <c r="K1415" s="249"/>
      <c r="L1415" s="248"/>
      <c r="M1415" s="249"/>
      <c r="N1415" s="249"/>
      <c r="O1415" s="249"/>
      <c r="P1415" s="249"/>
      <c r="Q1415" s="249"/>
      <c r="R1415" s="249"/>
      <c r="S1415" s="249"/>
      <c r="T1415" s="249"/>
      <c r="U1415" s="249"/>
      <c r="V1415" s="249"/>
    </row>
    <row r="1416">
      <c r="A1416" s="255" t="s">
        <v>2543</v>
      </c>
      <c r="B1416" s="248">
        <v>2024.0</v>
      </c>
      <c r="C1416" s="248" t="s">
        <v>2330</v>
      </c>
      <c r="D1416" s="248" t="s">
        <v>2331</v>
      </c>
      <c r="E1416" s="248" t="s">
        <v>2357</v>
      </c>
      <c r="F1416" s="248" t="s">
        <v>2336</v>
      </c>
      <c r="G1416" s="248" t="s">
        <v>34</v>
      </c>
      <c r="H1416" s="257" t="s">
        <v>2333</v>
      </c>
      <c r="I1416" s="248"/>
      <c r="J1416" s="248"/>
      <c r="K1416" s="249"/>
      <c r="L1416" s="248"/>
      <c r="M1416" s="249"/>
      <c r="N1416" s="249"/>
      <c r="O1416" s="249"/>
      <c r="P1416" s="249"/>
      <c r="Q1416" s="249"/>
      <c r="R1416" s="249"/>
      <c r="S1416" s="249"/>
      <c r="T1416" s="249"/>
      <c r="U1416" s="249"/>
      <c r="V1416" s="249"/>
    </row>
    <row r="1417">
      <c r="A1417" s="255" t="s">
        <v>2544</v>
      </c>
      <c r="B1417" s="248">
        <v>2024.0</v>
      </c>
      <c r="C1417" s="248" t="s">
        <v>2324</v>
      </c>
      <c r="D1417" s="248" t="s">
        <v>2325</v>
      </c>
      <c r="E1417" s="248" t="s">
        <v>2326</v>
      </c>
      <c r="F1417" s="248" t="s">
        <v>2327</v>
      </c>
      <c r="G1417" s="248" t="s">
        <v>34</v>
      </c>
      <c r="H1417" s="257" t="s">
        <v>2328</v>
      </c>
      <c r="I1417" s="248"/>
      <c r="J1417" s="248"/>
      <c r="K1417" s="249"/>
      <c r="L1417" s="248"/>
      <c r="M1417" s="249"/>
      <c r="N1417" s="249"/>
      <c r="O1417" s="249"/>
      <c r="P1417" s="249"/>
      <c r="Q1417" s="249"/>
      <c r="R1417" s="249"/>
      <c r="S1417" s="249"/>
      <c r="T1417" s="249"/>
      <c r="U1417" s="249"/>
      <c r="V1417" s="249"/>
    </row>
    <row r="1418">
      <c r="A1418" s="255" t="s">
        <v>2545</v>
      </c>
      <c r="B1418" s="248">
        <v>2024.0</v>
      </c>
      <c r="C1418" s="248" t="s">
        <v>2330</v>
      </c>
      <c r="D1418" s="248" t="s">
        <v>2331</v>
      </c>
      <c r="E1418" s="248" t="s">
        <v>2357</v>
      </c>
      <c r="F1418" s="248" t="s">
        <v>2327</v>
      </c>
      <c r="G1418" s="248" t="s">
        <v>34</v>
      </c>
      <c r="H1418" s="257" t="s">
        <v>2340</v>
      </c>
      <c r="I1418" s="248"/>
      <c r="J1418" s="248"/>
      <c r="K1418" s="249"/>
      <c r="L1418" s="248"/>
      <c r="M1418" s="249"/>
      <c r="N1418" s="249"/>
      <c r="O1418" s="249"/>
      <c r="P1418" s="249"/>
      <c r="Q1418" s="249"/>
      <c r="R1418" s="249"/>
      <c r="S1418" s="249"/>
      <c r="T1418" s="249"/>
      <c r="U1418" s="249"/>
      <c r="V1418" s="249"/>
    </row>
    <row r="1419">
      <c r="A1419" s="255" t="s">
        <v>2546</v>
      </c>
      <c r="B1419" s="248">
        <v>2024.0</v>
      </c>
      <c r="C1419" s="248" t="s">
        <v>2324</v>
      </c>
      <c r="D1419" s="248" t="s">
        <v>2325</v>
      </c>
      <c r="E1419" s="248" t="s">
        <v>2347</v>
      </c>
      <c r="F1419" s="248" t="s">
        <v>2327</v>
      </c>
      <c r="G1419" s="248" t="s">
        <v>34</v>
      </c>
      <c r="H1419" s="257" t="s">
        <v>2328</v>
      </c>
      <c r="I1419" s="248"/>
      <c r="J1419" s="248"/>
      <c r="K1419" s="249"/>
      <c r="L1419" s="248"/>
      <c r="M1419" s="249"/>
      <c r="N1419" s="249"/>
      <c r="O1419" s="249"/>
      <c r="P1419" s="249"/>
      <c r="Q1419" s="249"/>
      <c r="R1419" s="249"/>
      <c r="S1419" s="249"/>
      <c r="T1419" s="249"/>
      <c r="U1419" s="249"/>
      <c r="V1419" s="249"/>
    </row>
    <row r="1420">
      <c r="A1420" s="255" t="s">
        <v>2547</v>
      </c>
      <c r="B1420" s="248">
        <v>2024.0</v>
      </c>
      <c r="C1420" s="248" t="s">
        <v>2324</v>
      </c>
      <c r="D1420" s="248" t="s">
        <v>2325</v>
      </c>
      <c r="E1420" s="248" t="s">
        <v>2344</v>
      </c>
      <c r="F1420" s="248" t="s">
        <v>2327</v>
      </c>
      <c r="G1420" s="248" t="s">
        <v>34</v>
      </c>
      <c r="H1420" s="257" t="s">
        <v>2333</v>
      </c>
      <c r="I1420" s="248"/>
      <c r="J1420" s="248"/>
      <c r="K1420" s="249"/>
      <c r="L1420" s="248"/>
      <c r="M1420" s="249"/>
      <c r="N1420" s="249"/>
      <c r="O1420" s="249"/>
      <c r="P1420" s="249"/>
      <c r="Q1420" s="249"/>
      <c r="R1420" s="249"/>
      <c r="S1420" s="249"/>
      <c r="T1420" s="249"/>
      <c r="U1420" s="249"/>
      <c r="V1420" s="249"/>
    </row>
    <row r="1421">
      <c r="A1421" s="255" t="s">
        <v>2548</v>
      </c>
      <c r="B1421" s="248">
        <v>2024.0</v>
      </c>
      <c r="C1421" s="248" t="s">
        <v>2324</v>
      </c>
      <c r="D1421" s="248" t="s">
        <v>2325</v>
      </c>
      <c r="E1421" s="248" t="s">
        <v>2326</v>
      </c>
      <c r="F1421" s="248" t="s">
        <v>2327</v>
      </c>
      <c r="G1421" s="248" t="s">
        <v>34</v>
      </c>
      <c r="H1421" s="257" t="s">
        <v>2328</v>
      </c>
      <c r="I1421" s="248"/>
      <c r="J1421" s="248"/>
      <c r="K1421" s="249"/>
      <c r="L1421" s="248"/>
      <c r="M1421" s="249"/>
      <c r="N1421" s="249"/>
      <c r="O1421" s="249"/>
      <c r="P1421" s="249"/>
      <c r="Q1421" s="249"/>
      <c r="R1421" s="249"/>
      <c r="S1421" s="249"/>
      <c r="T1421" s="249"/>
      <c r="U1421" s="249"/>
      <c r="V1421" s="249"/>
    </row>
    <row r="1422">
      <c r="A1422" s="255" t="s">
        <v>2549</v>
      </c>
      <c r="B1422" s="248">
        <v>2024.0</v>
      </c>
      <c r="C1422" s="248" t="s">
        <v>2324</v>
      </c>
      <c r="D1422" s="248" t="s">
        <v>2331</v>
      </c>
      <c r="E1422" s="248" t="s">
        <v>2339</v>
      </c>
      <c r="F1422" s="248" t="s">
        <v>2327</v>
      </c>
      <c r="G1422" s="248" t="s">
        <v>34</v>
      </c>
      <c r="H1422" s="257" t="s">
        <v>2328</v>
      </c>
      <c r="I1422" s="248"/>
      <c r="J1422" s="248"/>
      <c r="K1422" s="249"/>
      <c r="L1422" s="248"/>
      <c r="M1422" s="249"/>
      <c r="N1422" s="249"/>
      <c r="O1422" s="249"/>
      <c r="P1422" s="249"/>
      <c r="Q1422" s="249"/>
      <c r="R1422" s="249"/>
      <c r="S1422" s="249"/>
      <c r="T1422" s="249"/>
      <c r="U1422" s="249"/>
      <c r="V1422" s="249"/>
    </row>
    <row r="1423">
      <c r="A1423" s="255" t="s">
        <v>2550</v>
      </c>
      <c r="B1423" s="248">
        <v>2024.0</v>
      </c>
      <c r="C1423" s="248" t="s">
        <v>2324</v>
      </c>
      <c r="D1423" s="248" t="s">
        <v>2325</v>
      </c>
      <c r="E1423" s="248" t="s">
        <v>2326</v>
      </c>
      <c r="F1423" s="248" t="s">
        <v>2327</v>
      </c>
      <c r="G1423" s="248" t="s">
        <v>34</v>
      </c>
      <c r="H1423" s="257" t="s">
        <v>2340</v>
      </c>
      <c r="I1423" s="248"/>
      <c r="J1423" s="248"/>
      <c r="K1423" s="249"/>
      <c r="L1423" s="248"/>
      <c r="M1423" s="249"/>
      <c r="N1423" s="249"/>
      <c r="O1423" s="249"/>
      <c r="P1423" s="249"/>
      <c r="Q1423" s="249"/>
      <c r="R1423" s="249"/>
      <c r="S1423" s="249"/>
      <c r="T1423" s="249"/>
      <c r="U1423" s="249"/>
      <c r="V1423" s="249"/>
    </row>
    <row r="1424">
      <c r="A1424" s="255" t="s">
        <v>2551</v>
      </c>
      <c r="B1424" s="248">
        <v>2024.0</v>
      </c>
      <c r="C1424" s="248" t="s">
        <v>2324</v>
      </c>
      <c r="D1424" s="248" t="s">
        <v>2325</v>
      </c>
      <c r="E1424" s="248" t="s">
        <v>2326</v>
      </c>
      <c r="F1424" s="248" t="s">
        <v>2336</v>
      </c>
      <c r="G1424" s="248" t="s">
        <v>34</v>
      </c>
      <c r="H1424" s="257" t="s">
        <v>2340</v>
      </c>
      <c r="I1424" s="248"/>
      <c r="J1424" s="248"/>
      <c r="K1424" s="249"/>
      <c r="L1424" s="248"/>
      <c r="M1424" s="249"/>
      <c r="N1424" s="249"/>
      <c r="O1424" s="249"/>
      <c r="P1424" s="249"/>
      <c r="Q1424" s="249"/>
      <c r="R1424" s="249"/>
      <c r="S1424" s="249"/>
      <c r="T1424" s="249"/>
      <c r="U1424" s="249"/>
      <c r="V1424" s="249"/>
    </row>
    <row r="1425">
      <c r="A1425" s="255" t="s">
        <v>2552</v>
      </c>
      <c r="B1425" s="248">
        <v>2024.0</v>
      </c>
      <c r="C1425" s="248" t="s">
        <v>2343</v>
      </c>
      <c r="D1425" s="248" t="s">
        <v>2331</v>
      </c>
      <c r="E1425" s="248" t="s">
        <v>2335</v>
      </c>
      <c r="F1425" s="248" t="s">
        <v>2327</v>
      </c>
      <c r="G1425" s="248" t="s">
        <v>34</v>
      </c>
      <c r="H1425" s="257" t="s">
        <v>2328</v>
      </c>
      <c r="I1425" s="248"/>
      <c r="J1425" s="248"/>
      <c r="K1425" s="249"/>
      <c r="L1425" s="248"/>
      <c r="M1425" s="249"/>
      <c r="N1425" s="249"/>
      <c r="O1425" s="249"/>
      <c r="P1425" s="249"/>
      <c r="Q1425" s="249"/>
      <c r="R1425" s="249"/>
      <c r="S1425" s="249"/>
      <c r="T1425" s="249"/>
      <c r="U1425" s="249"/>
      <c r="V1425" s="249"/>
    </row>
    <row r="1426">
      <c r="A1426" s="255" t="s">
        <v>2553</v>
      </c>
      <c r="B1426" s="248">
        <v>2024.0</v>
      </c>
      <c r="C1426" s="248" t="s">
        <v>2343</v>
      </c>
      <c r="D1426" s="248" t="s">
        <v>2325</v>
      </c>
      <c r="E1426" s="248" t="s">
        <v>2344</v>
      </c>
      <c r="F1426" s="248" t="s">
        <v>2327</v>
      </c>
      <c r="G1426" s="248" t="s">
        <v>34</v>
      </c>
      <c r="H1426" s="257" t="s">
        <v>2340</v>
      </c>
      <c r="I1426" s="248"/>
      <c r="J1426" s="248"/>
      <c r="K1426" s="249"/>
      <c r="L1426" s="248"/>
      <c r="M1426" s="249"/>
      <c r="N1426" s="249"/>
      <c r="O1426" s="249"/>
      <c r="P1426" s="249"/>
      <c r="Q1426" s="249"/>
      <c r="R1426" s="249"/>
      <c r="S1426" s="249"/>
      <c r="T1426" s="249"/>
      <c r="U1426" s="249"/>
      <c r="V1426" s="249"/>
    </row>
    <row r="1427">
      <c r="A1427" s="255" t="s">
        <v>2554</v>
      </c>
      <c r="B1427" s="248">
        <v>2024.0</v>
      </c>
      <c r="C1427" s="248" t="s">
        <v>2343</v>
      </c>
      <c r="D1427" s="248" t="s">
        <v>2325</v>
      </c>
      <c r="E1427" s="248" t="s">
        <v>2344</v>
      </c>
      <c r="F1427" s="248" t="s">
        <v>2327</v>
      </c>
      <c r="G1427" s="248" t="s">
        <v>34</v>
      </c>
      <c r="H1427" s="257" t="s">
        <v>2337</v>
      </c>
      <c r="I1427" s="248"/>
      <c r="J1427" s="248"/>
      <c r="K1427" s="249"/>
      <c r="L1427" s="248"/>
      <c r="M1427" s="249"/>
      <c r="N1427" s="249"/>
      <c r="O1427" s="249"/>
      <c r="P1427" s="249"/>
      <c r="Q1427" s="249"/>
      <c r="R1427" s="249"/>
      <c r="S1427" s="249"/>
      <c r="T1427" s="249"/>
      <c r="U1427" s="249"/>
      <c r="V1427" s="249"/>
    </row>
    <row r="1428">
      <c r="A1428" s="255" t="s">
        <v>2555</v>
      </c>
      <c r="B1428" s="248">
        <v>2024.0</v>
      </c>
      <c r="C1428" s="248" t="s">
        <v>2324</v>
      </c>
      <c r="D1428" s="248" t="s">
        <v>2331</v>
      </c>
      <c r="E1428" s="248" t="s">
        <v>2335</v>
      </c>
      <c r="F1428" s="248" t="s">
        <v>2327</v>
      </c>
      <c r="G1428" s="248" t="s">
        <v>34</v>
      </c>
      <c r="H1428" s="257" t="s">
        <v>2333</v>
      </c>
      <c r="I1428" s="248"/>
      <c r="J1428" s="248"/>
      <c r="K1428" s="249"/>
      <c r="L1428" s="248"/>
      <c r="M1428" s="249"/>
      <c r="N1428" s="249"/>
      <c r="O1428" s="249"/>
      <c r="P1428" s="249"/>
      <c r="Q1428" s="249"/>
      <c r="R1428" s="249"/>
      <c r="S1428" s="249"/>
      <c r="T1428" s="249"/>
      <c r="U1428" s="249"/>
      <c r="V1428" s="249"/>
    </row>
    <row r="1429">
      <c r="A1429" s="255" t="s">
        <v>2556</v>
      </c>
      <c r="B1429" s="248">
        <v>2024.0</v>
      </c>
      <c r="C1429" s="248" t="s">
        <v>2343</v>
      </c>
      <c r="D1429" s="248" t="s">
        <v>2325</v>
      </c>
      <c r="E1429" s="248" t="s">
        <v>2347</v>
      </c>
      <c r="F1429" s="248" t="s">
        <v>2327</v>
      </c>
      <c r="G1429" s="248" t="s">
        <v>34</v>
      </c>
      <c r="H1429" s="257" t="s">
        <v>2337</v>
      </c>
      <c r="I1429" s="248"/>
      <c r="J1429" s="248"/>
      <c r="K1429" s="249"/>
      <c r="L1429" s="248"/>
      <c r="M1429" s="249"/>
      <c r="N1429" s="249"/>
      <c r="O1429" s="249"/>
      <c r="P1429" s="249"/>
      <c r="Q1429" s="249"/>
      <c r="R1429" s="249"/>
      <c r="S1429" s="249"/>
      <c r="T1429" s="249"/>
      <c r="U1429" s="249"/>
      <c r="V1429" s="249"/>
    </row>
    <row r="1430">
      <c r="A1430" s="255" t="s">
        <v>2557</v>
      </c>
      <c r="B1430" s="248">
        <v>2024.0</v>
      </c>
      <c r="C1430" s="248" t="s">
        <v>2324</v>
      </c>
      <c r="D1430" s="248" t="s">
        <v>2331</v>
      </c>
      <c r="E1430" s="248" t="s">
        <v>2362</v>
      </c>
      <c r="F1430" s="248" t="s">
        <v>2327</v>
      </c>
      <c r="G1430" s="248" t="s">
        <v>34</v>
      </c>
      <c r="H1430" s="257" t="s">
        <v>2333</v>
      </c>
      <c r="I1430" s="248"/>
      <c r="J1430" s="248"/>
      <c r="K1430" s="249"/>
      <c r="L1430" s="248"/>
      <c r="M1430" s="249"/>
      <c r="N1430" s="249"/>
      <c r="O1430" s="249"/>
      <c r="P1430" s="249"/>
      <c r="Q1430" s="249"/>
      <c r="R1430" s="249"/>
      <c r="S1430" s="249"/>
      <c r="T1430" s="249"/>
      <c r="U1430" s="249"/>
      <c r="V1430" s="249"/>
    </row>
    <row r="1431">
      <c r="A1431" s="255" t="s">
        <v>2558</v>
      </c>
      <c r="B1431" s="248">
        <v>2024.0</v>
      </c>
      <c r="C1431" s="248" t="s">
        <v>2324</v>
      </c>
      <c r="D1431" s="248" t="s">
        <v>2325</v>
      </c>
      <c r="E1431" s="248" t="s">
        <v>2347</v>
      </c>
      <c r="F1431" s="248" t="s">
        <v>2327</v>
      </c>
      <c r="G1431" s="248" t="s">
        <v>34</v>
      </c>
      <c r="H1431" s="257" t="s">
        <v>2328</v>
      </c>
      <c r="I1431" s="248"/>
      <c r="J1431" s="248"/>
      <c r="K1431" s="249"/>
      <c r="L1431" s="248"/>
      <c r="M1431" s="249"/>
      <c r="N1431" s="249"/>
      <c r="O1431" s="249"/>
      <c r="P1431" s="249"/>
      <c r="Q1431" s="249"/>
      <c r="R1431" s="249"/>
      <c r="S1431" s="249"/>
      <c r="T1431" s="249"/>
      <c r="U1431" s="249"/>
      <c r="V1431" s="249"/>
    </row>
    <row r="1432">
      <c r="A1432" s="255" t="s">
        <v>2559</v>
      </c>
      <c r="B1432" s="248">
        <v>2024.0</v>
      </c>
      <c r="C1432" s="248" t="s">
        <v>2324</v>
      </c>
      <c r="D1432" s="248" t="s">
        <v>2331</v>
      </c>
      <c r="E1432" s="248" t="s">
        <v>2335</v>
      </c>
      <c r="F1432" s="248" t="s">
        <v>2327</v>
      </c>
      <c r="G1432" s="248" t="s">
        <v>34</v>
      </c>
      <c r="H1432" s="257" t="s">
        <v>2333</v>
      </c>
      <c r="I1432" s="248"/>
      <c r="J1432" s="248"/>
      <c r="K1432" s="249"/>
      <c r="L1432" s="248"/>
      <c r="M1432" s="249"/>
      <c r="N1432" s="249"/>
      <c r="O1432" s="249"/>
      <c r="P1432" s="249"/>
      <c r="Q1432" s="249"/>
      <c r="R1432" s="249"/>
      <c r="S1432" s="249"/>
      <c r="T1432" s="249"/>
      <c r="U1432" s="249"/>
      <c r="V1432" s="249"/>
    </row>
    <row r="1433">
      <c r="A1433" s="255" t="s">
        <v>2560</v>
      </c>
      <c r="B1433" s="248">
        <v>2024.0</v>
      </c>
      <c r="C1433" s="248" t="s">
        <v>2324</v>
      </c>
      <c r="D1433" s="248" t="s">
        <v>2331</v>
      </c>
      <c r="E1433" s="248" t="s">
        <v>2332</v>
      </c>
      <c r="F1433" s="248" t="s">
        <v>2327</v>
      </c>
      <c r="G1433" s="248" t="s">
        <v>34</v>
      </c>
      <c r="H1433" s="257" t="s">
        <v>2340</v>
      </c>
      <c r="I1433" s="248"/>
      <c r="J1433" s="248"/>
      <c r="K1433" s="249"/>
      <c r="L1433" s="248"/>
      <c r="M1433" s="249"/>
      <c r="N1433" s="249"/>
      <c r="O1433" s="249"/>
      <c r="P1433" s="249"/>
      <c r="Q1433" s="249"/>
      <c r="R1433" s="249"/>
      <c r="S1433" s="249"/>
      <c r="T1433" s="249"/>
      <c r="U1433" s="249"/>
      <c r="V1433" s="249"/>
    </row>
    <row r="1434">
      <c r="A1434" s="255" t="s">
        <v>2561</v>
      </c>
      <c r="B1434" s="248">
        <v>2024.0</v>
      </c>
      <c r="C1434" s="248" t="s">
        <v>2324</v>
      </c>
      <c r="D1434" s="248" t="s">
        <v>2331</v>
      </c>
      <c r="E1434" s="248" t="s">
        <v>2357</v>
      </c>
      <c r="F1434" s="248" t="s">
        <v>2327</v>
      </c>
      <c r="G1434" s="248" t="s">
        <v>34</v>
      </c>
      <c r="H1434" s="257" t="s">
        <v>2328</v>
      </c>
      <c r="I1434" s="248"/>
      <c r="J1434" s="248"/>
      <c r="K1434" s="249"/>
      <c r="L1434" s="248"/>
      <c r="M1434" s="249"/>
      <c r="N1434" s="249"/>
      <c r="O1434" s="249"/>
      <c r="P1434" s="249"/>
      <c r="Q1434" s="249"/>
      <c r="R1434" s="249"/>
      <c r="S1434" s="249"/>
      <c r="T1434" s="249"/>
      <c r="U1434" s="249"/>
      <c r="V1434" s="249"/>
    </row>
    <row r="1435">
      <c r="A1435" s="255" t="s">
        <v>2562</v>
      </c>
      <c r="B1435" s="248">
        <v>2024.0</v>
      </c>
      <c r="C1435" s="248" t="s">
        <v>2324</v>
      </c>
      <c r="D1435" s="248" t="s">
        <v>2331</v>
      </c>
      <c r="E1435" s="248" t="s">
        <v>2362</v>
      </c>
      <c r="F1435" s="248" t="s">
        <v>2327</v>
      </c>
      <c r="G1435" s="248" t="s">
        <v>34</v>
      </c>
      <c r="H1435" s="257" t="s">
        <v>2328</v>
      </c>
      <c r="I1435" s="248"/>
      <c r="J1435" s="248"/>
      <c r="K1435" s="249"/>
      <c r="L1435" s="248"/>
      <c r="M1435" s="249"/>
      <c r="N1435" s="249"/>
      <c r="O1435" s="249"/>
      <c r="P1435" s="249"/>
      <c r="Q1435" s="249"/>
      <c r="R1435" s="249"/>
      <c r="S1435" s="249"/>
      <c r="T1435" s="249"/>
      <c r="U1435" s="249"/>
      <c r="V1435" s="249"/>
    </row>
    <row r="1436">
      <c r="A1436" s="255" t="s">
        <v>2563</v>
      </c>
      <c r="B1436" s="248">
        <v>2024.0</v>
      </c>
      <c r="C1436" s="248" t="s">
        <v>2324</v>
      </c>
      <c r="D1436" s="248" t="s">
        <v>2331</v>
      </c>
      <c r="E1436" s="248" t="s">
        <v>2335</v>
      </c>
      <c r="F1436" s="248" t="s">
        <v>2327</v>
      </c>
      <c r="G1436" s="248" t="s">
        <v>34</v>
      </c>
      <c r="H1436" s="257" t="s">
        <v>2333</v>
      </c>
      <c r="I1436" s="248"/>
      <c r="J1436" s="248"/>
      <c r="K1436" s="249"/>
      <c r="L1436" s="248"/>
      <c r="M1436" s="249"/>
      <c r="N1436" s="249"/>
      <c r="O1436" s="249"/>
      <c r="P1436" s="249"/>
      <c r="Q1436" s="249"/>
      <c r="R1436" s="249"/>
      <c r="S1436" s="249"/>
      <c r="T1436" s="249"/>
      <c r="U1436" s="249"/>
      <c r="V1436" s="249"/>
    </row>
    <row r="1437">
      <c r="A1437" s="255" t="s">
        <v>2564</v>
      </c>
      <c r="B1437" s="248">
        <v>2024.0</v>
      </c>
      <c r="C1437" s="248" t="s">
        <v>2343</v>
      </c>
      <c r="D1437" s="248" t="s">
        <v>2331</v>
      </c>
      <c r="E1437" s="248" t="s">
        <v>2332</v>
      </c>
      <c r="F1437" s="248" t="s">
        <v>2327</v>
      </c>
      <c r="G1437" s="248" t="s">
        <v>34</v>
      </c>
      <c r="H1437" s="257" t="s">
        <v>2333</v>
      </c>
      <c r="I1437" s="248"/>
      <c r="J1437" s="248"/>
      <c r="K1437" s="249"/>
      <c r="L1437" s="248"/>
      <c r="M1437" s="249"/>
      <c r="N1437" s="249"/>
      <c r="O1437" s="249"/>
      <c r="P1437" s="249"/>
      <c r="Q1437" s="249"/>
      <c r="R1437" s="249"/>
      <c r="S1437" s="249"/>
      <c r="T1437" s="249"/>
      <c r="U1437" s="249"/>
      <c r="V1437" s="249"/>
    </row>
    <row r="1438">
      <c r="A1438" s="255" t="s">
        <v>2565</v>
      </c>
      <c r="B1438" s="248">
        <v>2024.0</v>
      </c>
      <c r="C1438" s="248" t="s">
        <v>2324</v>
      </c>
      <c r="D1438" s="248" t="s">
        <v>2331</v>
      </c>
      <c r="E1438" s="248" t="s">
        <v>2362</v>
      </c>
      <c r="F1438" s="248" t="s">
        <v>2327</v>
      </c>
      <c r="G1438" s="248" t="s">
        <v>34</v>
      </c>
      <c r="H1438" s="257" t="s">
        <v>2340</v>
      </c>
      <c r="I1438" s="248"/>
      <c r="J1438" s="248"/>
      <c r="K1438" s="249"/>
      <c r="L1438" s="248"/>
      <c r="M1438" s="249"/>
      <c r="N1438" s="249"/>
      <c r="O1438" s="249"/>
      <c r="P1438" s="249"/>
      <c r="Q1438" s="249"/>
      <c r="R1438" s="249"/>
      <c r="S1438" s="249"/>
      <c r="T1438" s="249"/>
      <c r="U1438" s="249"/>
      <c r="V1438" s="249"/>
    </row>
    <row r="1439">
      <c r="A1439" s="255" t="s">
        <v>2566</v>
      </c>
      <c r="B1439" s="248">
        <v>2024.0</v>
      </c>
      <c r="C1439" s="248" t="s">
        <v>2330</v>
      </c>
      <c r="D1439" s="248" t="s">
        <v>2325</v>
      </c>
      <c r="E1439" s="248" t="s">
        <v>2391</v>
      </c>
      <c r="F1439" s="248" t="s">
        <v>2327</v>
      </c>
      <c r="G1439" s="248" t="s">
        <v>34</v>
      </c>
      <c r="H1439" s="257" t="s">
        <v>2340</v>
      </c>
      <c r="I1439" s="248"/>
      <c r="J1439" s="248"/>
      <c r="K1439" s="249"/>
      <c r="L1439" s="248"/>
      <c r="M1439" s="249"/>
      <c r="N1439" s="249"/>
      <c r="O1439" s="249"/>
      <c r="P1439" s="249"/>
      <c r="Q1439" s="249"/>
      <c r="R1439" s="249"/>
      <c r="S1439" s="249"/>
      <c r="T1439" s="249"/>
      <c r="U1439" s="249"/>
      <c r="V1439" s="249"/>
    </row>
    <row r="1440">
      <c r="A1440" s="255" t="s">
        <v>2567</v>
      </c>
      <c r="B1440" s="248">
        <v>2024.0</v>
      </c>
      <c r="C1440" s="248" t="s">
        <v>2330</v>
      </c>
      <c r="D1440" s="248" t="s">
        <v>2331</v>
      </c>
      <c r="E1440" s="248" t="s">
        <v>2360</v>
      </c>
      <c r="F1440" s="248" t="s">
        <v>2327</v>
      </c>
      <c r="G1440" s="248" t="s">
        <v>34</v>
      </c>
      <c r="H1440" s="257" t="s">
        <v>2337</v>
      </c>
      <c r="I1440" s="248"/>
      <c r="J1440" s="248"/>
      <c r="K1440" s="249"/>
      <c r="L1440" s="248"/>
      <c r="M1440" s="249"/>
      <c r="N1440" s="249"/>
      <c r="O1440" s="249"/>
      <c r="P1440" s="249"/>
      <c r="Q1440" s="249"/>
      <c r="R1440" s="249"/>
      <c r="S1440" s="249"/>
      <c r="T1440" s="249"/>
      <c r="U1440" s="249"/>
      <c r="V1440" s="249"/>
    </row>
    <row r="1441">
      <c r="A1441" s="255" t="s">
        <v>2568</v>
      </c>
      <c r="B1441" s="248">
        <v>2024.0</v>
      </c>
      <c r="C1441" s="248" t="s">
        <v>2324</v>
      </c>
      <c r="D1441" s="248" t="s">
        <v>2331</v>
      </c>
      <c r="E1441" s="248" t="s">
        <v>2351</v>
      </c>
      <c r="F1441" s="248" t="s">
        <v>2327</v>
      </c>
      <c r="G1441" s="248" t="s">
        <v>34</v>
      </c>
      <c r="H1441" s="257" t="s">
        <v>2328</v>
      </c>
      <c r="I1441" s="248"/>
      <c r="J1441" s="248"/>
      <c r="K1441" s="249"/>
      <c r="L1441" s="248"/>
      <c r="M1441" s="249"/>
      <c r="N1441" s="249"/>
      <c r="O1441" s="249"/>
      <c r="P1441" s="249"/>
      <c r="Q1441" s="249"/>
      <c r="R1441" s="249"/>
      <c r="S1441" s="249"/>
      <c r="T1441" s="249"/>
      <c r="U1441" s="249"/>
      <c r="V1441" s="249"/>
    </row>
    <row r="1442">
      <c r="A1442" s="255" t="s">
        <v>2569</v>
      </c>
      <c r="B1442" s="248">
        <v>2024.0</v>
      </c>
      <c r="C1442" s="248" t="s">
        <v>2330</v>
      </c>
      <c r="D1442" s="248" t="s">
        <v>2331</v>
      </c>
      <c r="E1442" s="248" t="s">
        <v>2332</v>
      </c>
      <c r="F1442" s="248" t="s">
        <v>2327</v>
      </c>
      <c r="G1442" s="248" t="s">
        <v>34</v>
      </c>
      <c r="H1442" s="257" t="s">
        <v>2337</v>
      </c>
      <c r="I1442" s="248"/>
      <c r="J1442" s="248"/>
      <c r="K1442" s="249"/>
      <c r="L1442" s="248"/>
      <c r="M1442" s="249"/>
      <c r="N1442" s="249"/>
      <c r="O1442" s="249"/>
      <c r="P1442" s="249"/>
      <c r="Q1442" s="249"/>
      <c r="R1442" s="249"/>
      <c r="S1442" s="249"/>
      <c r="T1442" s="249"/>
      <c r="U1442" s="249"/>
      <c r="V1442" s="249"/>
    </row>
    <row r="1443">
      <c r="A1443" s="255" t="s">
        <v>2570</v>
      </c>
      <c r="B1443" s="248">
        <v>2024.0</v>
      </c>
      <c r="C1443" s="248" t="s">
        <v>2324</v>
      </c>
      <c r="D1443" s="248" t="s">
        <v>2331</v>
      </c>
      <c r="E1443" s="248" t="s">
        <v>2332</v>
      </c>
      <c r="F1443" s="248" t="s">
        <v>2327</v>
      </c>
      <c r="G1443" s="248" t="s">
        <v>34</v>
      </c>
      <c r="H1443" s="257" t="s">
        <v>2337</v>
      </c>
      <c r="I1443" s="248"/>
      <c r="J1443" s="248"/>
      <c r="K1443" s="249"/>
      <c r="L1443" s="248"/>
      <c r="M1443" s="249"/>
      <c r="N1443" s="249"/>
      <c r="O1443" s="249"/>
      <c r="P1443" s="249"/>
      <c r="Q1443" s="249"/>
      <c r="R1443" s="249"/>
      <c r="S1443" s="249"/>
      <c r="T1443" s="249"/>
      <c r="U1443" s="249"/>
      <c r="V1443" s="249"/>
    </row>
    <row r="1444">
      <c r="A1444" s="255" t="s">
        <v>2571</v>
      </c>
      <c r="B1444" s="248">
        <v>2024.0</v>
      </c>
      <c r="C1444" s="248" t="s">
        <v>2324</v>
      </c>
      <c r="D1444" s="248" t="s">
        <v>2331</v>
      </c>
      <c r="E1444" s="248" t="s">
        <v>2332</v>
      </c>
      <c r="F1444" s="248" t="s">
        <v>2327</v>
      </c>
      <c r="G1444" s="248" t="s">
        <v>34</v>
      </c>
      <c r="H1444" s="257" t="s">
        <v>2340</v>
      </c>
      <c r="I1444" s="248"/>
      <c r="J1444" s="248"/>
      <c r="K1444" s="249"/>
      <c r="L1444" s="248"/>
      <c r="M1444" s="249"/>
      <c r="N1444" s="249"/>
      <c r="O1444" s="249"/>
      <c r="P1444" s="249"/>
      <c r="Q1444" s="249"/>
      <c r="R1444" s="249"/>
      <c r="S1444" s="249"/>
      <c r="T1444" s="249"/>
      <c r="U1444" s="249"/>
      <c r="V1444" s="249"/>
    </row>
    <row r="1445">
      <c r="A1445" s="255" t="s">
        <v>2572</v>
      </c>
      <c r="B1445" s="248">
        <v>2023.0</v>
      </c>
      <c r="C1445" s="248" t="s">
        <v>2324</v>
      </c>
      <c r="D1445" s="248" t="s">
        <v>2331</v>
      </c>
      <c r="E1445" s="248" t="s">
        <v>2332</v>
      </c>
      <c r="F1445" s="248" t="s">
        <v>2327</v>
      </c>
      <c r="G1445" s="248" t="s">
        <v>34</v>
      </c>
      <c r="H1445" s="257" t="s">
        <v>2340</v>
      </c>
      <c r="I1445" s="248"/>
      <c r="K1445" s="249"/>
      <c r="L1445" s="248"/>
      <c r="M1445" s="249"/>
      <c r="N1445" s="249"/>
      <c r="O1445" s="249"/>
      <c r="P1445" s="249"/>
      <c r="Q1445" s="249"/>
      <c r="R1445" s="249"/>
      <c r="S1445" s="249"/>
      <c r="T1445" s="249"/>
      <c r="U1445" s="249"/>
      <c r="V1445" s="249"/>
    </row>
    <row r="1446">
      <c r="A1446" s="42" t="s">
        <v>2573</v>
      </c>
      <c r="B1446" s="248">
        <v>2023.0</v>
      </c>
      <c r="C1446" s="248" t="s">
        <v>2324</v>
      </c>
      <c r="D1446" s="248" t="s">
        <v>2331</v>
      </c>
      <c r="E1446" s="248" t="s">
        <v>2351</v>
      </c>
      <c r="F1446" s="248" t="s">
        <v>2327</v>
      </c>
      <c r="G1446" s="248" t="s">
        <v>34</v>
      </c>
      <c r="H1446" s="257" t="s">
        <v>2340</v>
      </c>
      <c r="I1446" s="248"/>
      <c r="J1446" s="248"/>
      <c r="K1446" s="249"/>
      <c r="L1446" s="248"/>
      <c r="M1446" s="249"/>
      <c r="N1446" s="249"/>
      <c r="O1446" s="249"/>
      <c r="P1446" s="249"/>
      <c r="Q1446" s="249"/>
      <c r="R1446" s="249"/>
      <c r="S1446" s="249"/>
      <c r="T1446" s="249"/>
      <c r="U1446" s="249"/>
      <c r="V1446" s="249"/>
    </row>
    <row r="1447">
      <c r="A1447" s="255" t="s">
        <v>2574</v>
      </c>
      <c r="B1447" s="248">
        <v>2023.0</v>
      </c>
      <c r="C1447" s="248" t="s">
        <v>2343</v>
      </c>
      <c r="D1447" s="248" t="s">
        <v>2325</v>
      </c>
      <c r="E1447" s="248" t="s">
        <v>2344</v>
      </c>
      <c r="F1447" s="248" t="s">
        <v>2370</v>
      </c>
      <c r="G1447" s="248" t="s">
        <v>34</v>
      </c>
      <c r="H1447" s="257" t="s">
        <v>2337</v>
      </c>
      <c r="I1447" s="248"/>
      <c r="J1447" s="248"/>
      <c r="K1447" s="249"/>
      <c r="L1447" s="248"/>
      <c r="M1447" s="249"/>
      <c r="N1447" s="249"/>
      <c r="O1447" s="249"/>
      <c r="P1447" s="249"/>
      <c r="Q1447" s="249"/>
      <c r="R1447" s="249"/>
      <c r="S1447" s="249"/>
      <c r="T1447" s="249"/>
      <c r="U1447" s="249"/>
      <c r="V1447" s="249"/>
    </row>
    <row r="1448">
      <c r="A1448" s="255" t="s">
        <v>2575</v>
      </c>
      <c r="B1448" s="248">
        <v>2023.0</v>
      </c>
      <c r="C1448" s="248" t="s">
        <v>2324</v>
      </c>
      <c r="D1448" s="248" t="s">
        <v>2331</v>
      </c>
      <c r="E1448" s="248" t="s">
        <v>2332</v>
      </c>
      <c r="F1448" s="248" t="s">
        <v>2336</v>
      </c>
      <c r="G1448" s="248" t="s">
        <v>34</v>
      </c>
      <c r="H1448" s="257" t="s">
        <v>2340</v>
      </c>
      <c r="I1448" s="248"/>
      <c r="J1448" s="248"/>
      <c r="K1448" s="249"/>
      <c r="L1448" s="248"/>
      <c r="M1448" s="249"/>
      <c r="N1448" s="249"/>
      <c r="O1448" s="249"/>
      <c r="P1448" s="249"/>
      <c r="Q1448" s="249"/>
      <c r="R1448" s="249"/>
      <c r="S1448" s="249"/>
      <c r="T1448" s="249"/>
      <c r="U1448" s="249"/>
      <c r="V1448" s="249"/>
    </row>
    <row r="1449">
      <c r="A1449" s="255" t="s">
        <v>2576</v>
      </c>
      <c r="B1449" s="248">
        <v>2023.0</v>
      </c>
      <c r="C1449" s="248" t="s">
        <v>2343</v>
      </c>
      <c r="D1449" s="248" t="s">
        <v>2331</v>
      </c>
      <c r="E1449" s="248" t="s">
        <v>2335</v>
      </c>
      <c r="F1449" s="248" t="s">
        <v>2327</v>
      </c>
      <c r="G1449" s="248" t="s">
        <v>34</v>
      </c>
      <c r="H1449" s="257" t="s">
        <v>2333</v>
      </c>
      <c r="I1449" s="248"/>
      <c r="J1449" s="248"/>
      <c r="K1449" s="249"/>
      <c r="L1449" s="248"/>
      <c r="M1449" s="249"/>
      <c r="N1449" s="249"/>
      <c r="O1449" s="249"/>
      <c r="P1449" s="249"/>
      <c r="Q1449" s="249"/>
      <c r="R1449" s="249"/>
      <c r="S1449" s="249"/>
      <c r="T1449" s="249"/>
      <c r="U1449" s="249"/>
      <c r="V1449" s="249"/>
    </row>
    <row r="1450">
      <c r="A1450" s="255" t="s">
        <v>2577</v>
      </c>
      <c r="B1450" s="248">
        <v>2023.0</v>
      </c>
      <c r="C1450" s="248" t="s">
        <v>2324</v>
      </c>
      <c r="D1450" s="248" t="s">
        <v>2331</v>
      </c>
      <c r="E1450" s="248" t="s">
        <v>2335</v>
      </c>
      <c r="F1450" s="248" t="s">
        <v>2327</v>
      </c>
      <c r="G1450" s="248" t="s">
        <v>34</v>
      </c>
      <c r="H1450" s="257" t="s">
        <v>2333</v>
      </c>
      <c r="I1450" s="248"/>
      <c r="J1450" s="248"/>
      <c r="K1450" s="249"/>
      <c r="L1450" s="248"/>
      <c r="M1450" s="249"/>
      <c r="N1450" s="249"/>
      <c r="O1450" s="249"/>
      <c r="P1450" s="249"/>
      <c r="Q1450" s="249"/>
      <c r="R1450" s="249"/>
      <c r="S1450" s="249"/>
      <c r="T1450" s="249"/>
      <c r="U1450" s="249"/>
      <c r="V1450" s="249"/>
    </row>
    <row r="1451">
      <c r="A1451" s="255" t="s">
        <v>2578</v>
      </c>
      <c r="B1451" s="248">
        <v>2023.0</v>
      </c>
      <c r="C1451" s="248" t="s">
        <v>2349</v>
      </c>
      <c r="D1451" s="248" t="s">
        <v>2331</v>
      </c>
      <c r="E1451" s="248" t="s">
        <v>2357</v>
      </c>
      <c r="F1451" s="248" t="s">
        <v>2336</v>
      </c>
      <c r="G1451" s="248" t="s">
        <v>34</v>
      </c>
      <c r="H1451" s="257" t="s">
        <v>2340</v>
      </c>
      <c r="I1451" s="248"/>
      <c r="J1451" s="248"/>
      <c r="K1451" s="249"/>
      <c r="L1451" s="248"/>
      <c r="M1451" s="249"/>
      <c r="N1451" s="249"/>
      <c r="O1451" s="249"/>
      <c r="P1451" s="249"/>
      <c r="Q1451" s="249"/>
      <c r="R1451" s="249"/>
      <c r="S1451" s="249"/>
      <c r="T1451" s="249"/>
      <c r="U1451" s="249"/>
      <c r="V1451" s="249"/>
    </row>
    <row r="1452">
      <c r="A1452" s="255" t="s">
        <v>2579</v>
      </c>
      <c r="B1452" s="248">
        <v>2023.0</v>
      </c>
      <c r="C1452" s="248" t="s">
        <v>2324</v>
      </c>
      <c r="D1452" s="248" t="s">
        <v>2331</v>
      </c>
      <c r="E1452" s="248" t="s">
        <v>2362</v>
      </c>
      <c r="F1452" s="248" t="s">
        <v>2336</v>
      </c>
      <c r="G1452" s="248" t="s">
        <v>34</v>
      </c>
      <c r="H1452" s="257" t="s">
        <v>2328</v>
      </c>
      <c r="I1452" s="248"/>
      <c r="J1452" s="248"/>
      <c r="K1452" s="249"/>
      <c r="L1452" s="248"/>
      <c r="M1452" s="249"/>
      <c r="N1452" s="249"/>
      <c r="O1452" s="249"/>
      <c r="P1452" s="249"/>
      <c r="Q1452" s="249"/>
      <c r="R1452" s="249"/>
      <c r="S1452" s="249"/>
      <c r="T1452" s="249"/>
      <c r="U1452" s="249"/>
      <c r="V1452" s="249"/>
    </row>
    <row r="1453">
      <c r="A1453" s="255" t="s">
        <v>2580</v>
      </c>
      <c r="B1453" s="248">
        <v>2023.0</v>
      </c>
      <c r="C1453" s="248" t="s">
        <v>2349</v>
      </c>
      <c r="D1453" s="248" t="s">
        <v>2325</v>
      </c>
      <c r="E1453" s="248" t="s">
        <v>2344</v>
      </c>
      <c r="F1453" s="248" t="s">
        <v>2336</v>
      </c>
      <c r="G1453" s="248" t="s">
        <v>34</v>
      </c>
      <c r="H1453" s="257" t="s">
        <v>2340</v>
      </c>
      <c r="I1453" s="248"/>
      <c r="J1453" s="248"/>
      <c r="K1453" s="249"/>
      <c r="L1453" s="248"/>
      <c r="M1453" s="249"/>
      <c r="N1453" s="249"/>
      <c r="O1453" s="249"/>
      <c r="P1453" s="249"/>
      <c r="Q1453" s="249"/>
      <c r="R1453" s="249"/>
      <c r="S1453" s="249"/>
      <c r="T1453" s="249"/>
      <c r="U1453" s="249"/>
      <c r="V1453" s="249"/>
    </row>
    <row r="1454">
      <c r="A1454" s="255" t="s">
        <v>2581</v>
      </c>
      <c r="B1454" s="248">
        <v>2023.0</v>
      </c>
      <c r="C1454" s="248" t="s">
        <v>2324</v>
      </c>
      <c r="D1454" s="248" t="s">
        <v>2325</v>
      </c>
      <c r="E1454" s="248" t="s">
        <v>2344</v>
      </c>
      <c r="F1454" s="248" t="s">
        <v>2336</v>
      </c>
      <c r="G1454" s="248" t="s">
        <v>34</v>
      </c>
      <c r="H1454" s="257" t="s">
        <v>2340</v>
      </c>
      <c r="I1454" s="248"/>
      <c r="J1454" s="248"/>
      <c r="K1454" s="249"/>
      <c r="L1454" s="248"/>
      <c r="M1454" s="249"/>
      <c r="N1454" s="249"/>
      <c r="O1454" s="249"/>
      <c r="P1454" s="249"/>
      <c r="Q1454" s="249"/>
      <c r="R1454" s="249"/>
      <c r="S1454" s="249"/>
      <c r="T1454" s="249"/>
      <c r="U1454" s="249"/>
      <c r="V1454" s="249"/>
    </row>
    <row r="1455">
      <c r="A1455" s="255" t="s">
        <v>2582</v>
      </c>
      <c r="B1455" s="248">
        <v>2023.0</v>
      </c>
      <c r="C1455" s="248" t="s">
        <v>2349</v>
      </c>
      <c r="D1455" s="248" t="s">
        <v>2325</v>
      </c>
      <c r="E1455" s="248" t="s">
        <v>2344</v>
      </c>
      <c r="F1455" s="248" t="s">
        <v>2370</v>
      </c>
      <c r="G1455" s="248" t="s">
        <v>34</v>
      </c>
      <c r="H1455" s="257" t="s">
        <v>2340</v>
      </c>
      <c r="I1455" s="248"/>
      <c r="J1455" s="248"/>
      <c r="K1455" s="249"/>
      <c r="L1455" s="248"/>
      <c r="M1455" s="249"/>
      <c r="N1455" s="249"/>
      <c r="O1455" s="249"/>
      <c r="P1455" s="249"/>
      <c r="Q1455" s="249"/>
      <c r="R1455" s="249"/>
      <c r="S1455" s="249"/>
      <c r="T1455" s="249"/>
      <c r="U1455" s="249"/>
      <c r="V1455" s="249"/>
    </row>
    <row r="1456">
      <c r="A1456" s="255" t="s">
        <v>2583</v>
      </c>
      <c r="B1456" s="248">
        <v>2023.0</v>
      </c>
      <c r="C1456" s="248" t="s">
        <v>2324</v>
      </c>
      <c r="D1456" s="248" t="s">
        <v>2331</v>
      </c>
      <c r="E1456" s="248" t="s">
        <v>2394</v>
      </c>
      <c r="F1456" s="248" t="s">
        <v>2327</v>
      </c>
      <c r="G1456" s="248" t="s">
        <v>34</v>
      </c>
      <c r="H1456" s="257" t="s">
        <v>2328</v>
      </c>
      <c r="I1456" s="248"/>
      <c r="J1456" s="248"/>
      <c r="K1456" s="249"/>
      <c r="L1456" s="248"/>
      <c r="M1456" s="249"/>
      <c r="N1456" s="249"/>
      <c r="O1456" s="249"/>
      <c r="P1456" s="249"/>
      <c r="Q1456" s="249"/>
      <c r="R1456" s="249"/>
      <c r="S1456" s="249"/>
      <c r="T1456" s="249"/>
      <c r="U1456" s="249"/>
      <c r="V1456" s="249"/>
    </row>
    <row r="1457">
      <c r="A1457" s="255" t="s">
        <v>2584</v>
      </c>
      <c r="B1457" s="248">
        <v>2023.0</v>
      </c>
      <c r="C1457" s="248" t="s">
        <v>2343</v>
      </c>
      <c r="D1457" s="248" t="s">
        <v>2331</v>
      </c>
      <c r="E1457" s="248" t="s">
        <v>2335</v>
      </c>
      <c r="F1457" s="248" t="s">
        <v>2327</v>
      </c>
      <c r="G1457" s="248" t="s">
        <v>34</v>
      </c>
      <c r="H1457" s="257" t="s">
        <v>2340</v>
      </c>
      <c r="I1457" s="248"/>
      <c r="J1457" s="248"/>
      <c r="K1457" s="249"/>
      <c r="L1457" s="248"/>
      <c r="M1457" s="249"/>
      <c r="N1457" s="249"/>
      <c r="O1457" s="249"/>
      <c r="P1457" s="249"/>
      <c r="Q1457" s="249"/>
      <c r="R1457" s="249"/>
      <c r="S1457" s="249"/>
      <c r="T1457" s="249"/>
      <c r="U1457" s="249"/>
      <c r="V1457" s="249"/>
    </row>
    <row r="1458">
      <c r="A1458" s="255" t="s">
        <v>2585</v>
      </c>
      <c r="B1458" s="248">
        <v>2023.0</v>
      </c>
      <c r="C1458" s="248" t="s">
        <v>2324</v>
      </c>
      <c r="D1458" s="248" t="s">
        <v>2331</v>
      </c>
      <c r="E1458" s="248" t="s">
        <v>2335</v>
      </c>
      <c r="F1458" s="248" t="s">
        <v>2327</v>
      </c>
      <c r="G1458" s="248" t="s">
        <v>34</v>
      </c>
      <c r="H1458" s="257" t="s">
        <v>2340</v>
      </c>
      <c r="I1458" s="248"/>
      <c r="J1458" s="248"/>
      <c r="K1458" s="249"/>
      <c r="L1458" s="248"/>
      <c r="M1458" s="249"/>
      <c r="N1458" s="249"/>
      <c r="O1458" s="249"/>
      <c r="P1458" s="249"/>
      <c r="Q1458" s="249"/>
      <c r="R1458" s="249"/>
      <c r="S1458" s="249"/>
      <c r="T1458" s="249"/>
      <c r="U1458" s="249"/>
      <c r="V1458" s="249"/>
    </row>
    <row r="1459">
      <c r="A1459" s="255" t="s">
        <v>2586</v>
      </c>
      <c r="B1459" s="248">
        <v>2023.0</v>
      </c>
      <c r="C1459" s="248" t="s">
        <v>2324</v>
      </c>
      <c r="D1459" s="248" t="s">
        <v>2331</v>
      </c>
      <c r="E1459" s="248" t="s">
        <v>2351</v>
      </c>
      <c r="F1459" s="248" t="s">
        <v>2327</v>
      </c>
      <c r="G1459" s="248" t="s">
        <v>34</v>
      </c>
      <c r="H1459" s="257" t="s">
        <v>2333</v>
      </c>
      <c r="I1459" s="248"/>
      <c r="J1459" s="248"/>
      <c r="K1459" s="249"/>
      <c r="L1459" s="248"/>
      <c r="M1459" s="249"/>
      <c r="N1459" s="249"/>
      <c r="O1459" s="249"/>
      <c r="P1459" s="249"/>
      <c r="Q1459" s="249"/>
      <c r="R1459" s="249"/>
      <c r="S1459" s="249"/>
      <c r="T1459" s="249"/>
      <c r="U1459" s="249"/>
      <c r="V1459" s="249"/>
    </row>
    <row r="1460">
      <c r="A1460" s="255" t="s">
        <v>2587</v>
      </c>
      <c r="B1460" s="248">
        <v>2023.0</v>
      </c>
      <c r="C1460" s="248" t="s">
        <v>2324</v>
      </c>
      <c r="D1460" s="248" t="s">
        <v>2331</v>
      </c>
      <c r="E1460" s="248" t="s">
        <v>2360</v>
      </c>
      <c r="F1460" s="248" t="s">
        <v>2327</v>
      </c>
      <c r="G1460" s="248" t="s">
        <v>34</v>
      </c>
      <c r="H1460" s="257" t="s">
        <v>2337</v>
      </c>
      <c r="I1460" s="248"/>
      <c r="J1460" s="248"/>
      <c r="K1460" s="249"/>
      <c r="L1460" s="248"/>
      <c r="M1460" s="249"/>
      <c r="N1460" s="249"/>
      <c r="O1460" s="249"/>
      <c r="P1460" s="249"/>
      <c r="Q1460" s="249"/>
      <c r="R1460" s="249"/>
      <c r="S1460" s="249"/>
      <c r="T1460" s="249"/>
      <c r="U1460" s="249"/>
      <c r="V1460" s="249"/>
    </row>
    <row r="1461">
      <c r="A1461" s="255" t="s">
        <v>2588</v>
      </c>
      <c r="B1461" s="248">
        <v>2023.0</v>
      </c>
      <c r="C1461" s="248" t="s">
        <v>2324</v>
      </c>
      <c r="D1461" s="248" t="s">
        <v>2331</v>
      </c>
      <c r="E1461" s="248" t="s">
        <v>2335</v>
      </c>
      <c r="F1461" s="248" t="s">
        <v>2327</v>
      </c>
      <c r="G1461" s="248" t="s">
        <v>34</v>
      </c>
      <c r="H1461" s="257" t="s">
        <v>2337</v>
      </c>
      <c r="I1461" s="248"/>
      <c r="J1461" s="248"/>
      <c r="K1461" s="249"/>
      <c r="L1461" s="248"/>
      <c r="M1461" s="249"/>
      <c r="N1461" s="249"/>
      <c r="O1461" s="249"/>
      <c r="P1461" s="249"/>
      <c r="Q1461" s="249"/>
      <c r="R1461" s="249"/>
      <c r="S1461" s="249"/>
      <c r="T1461" s="249"/>
      <c r="U1461" s="249"/>
      <c r="V1461" s="249"/>
    </row>
    <row r="1462">
      <c r="A1462" s="255" t="s">
        <v>2589</v>
      </c>
      <c r="B1462" s="248">
        <v>2023.0</v>
      </c>
      <c r="C1462" s="248" t="s">
        <v>2324</v>
      </c>
      <c r="D1462" s="248" t="s">
        <v>2325</v>
      </c>
      <c r="E1462" s="248" t="s">
        <v>2326</v>
      </c>
      <c r="F1462" s="248" t="s">
        <v>2327</v>
      </c>
      <c r="G1462" s="248" t="s">
        <v>34</v>
      </c>
      <c r="H1462" s="257" t="s">
        <v>2340</v>
      </c>
      <c r="I1462" s="248"/>
      <c r="J1462" s="248"/>
      <c r="K1462" s="249"/>
      <c r="L1462" s="248"/>
      <c r="M1462" s="249"/>
      <c r="N1462" s="249"/>
      <c r="O1462" s="249"/>
      <c r="P1462" s="249"/>
      <c r="Q1462" s="249"/>
      <c r="R1462" s="249"/>
      <c r="S1462" s="249"/>
      <c r="T1462" s="249"/>
      <c r="U1462" s="249"/>
      <c r="V1462" s="249"/>
    </row>
    <row r="1463">
      <c r="A1463" s="255" t="s">
        <v>2590</v>
      </c>
      <c r="B1463" s="248">
        <v>2023.0</v>
      </c>
      <c r="C1463" s="248" t="s">
        <v>2324</v>
      </c>
      <c r="D1463" s="248" t="s">
        <v>2331</v>
      </c>
      <c r="E1463" s="248" t="s">
        <v>2335</v>
      </c>
      <c r="F1463" s="248" t="s">
        <v>2327</v>
      </c>
      <c r="G1463" s="248" t="s">
        <v>34</v>
      </c>
      <c r="H1463" s="257" t="s">
        <v>2333</v>
      </c>
      <c r="I1463" s="248"/>
      <c r="J1463" s="248"/>
      <c r="K1463" s="249"/>
      <c r="L1463" s="248"/>
      <c r="M1463" s="249"/>
      <c r="N1463" s="249"/>
      <c r="O1463" s="249"/>
      <c r="P1463" s="249"/>
      <c r="Q1463" s="249"/>
      <c r="R1463" s="249"/>
      <c r="S1463" s="249"/>
      <c r="T1463" s="249"/>
      <c r="U1463" s="249"/>
      <c r="V1463" s="249"/>
    </row>
    <row r="1464">
      <c r="A1464" s="255" t="s">
        <v>2591</v>
      </c>
      <c r="B1464" s="248">
        <v>2023.0</v>
      </c>
      <c r="C1464" s="248" t="s">
        <v>2324</v>
      </c>
      <c r="D1464" s="248" t="s">
        <v>2331</v>
      </c>
      <c r="E1464" s="248" t="s">
        <v>2351</v>
      </c>
      <c r="F1464" s="248" t="s">
        <v>2327</v>
      </c>
      <c r="G1464" s="248" t="s">
        <v>34</v>
      </c>
      <c r="H1464" s="257" t="s">
        <v>2333</v>
      </c>
      <c r="I1464" s="248"/>
      <c r="J1464" s="248"/>
      <c r="K1464" s="249"/>
      <c r="L1464" s="248"/>
      <c r="M1464" s="249"/>
      <c r="N1464" s="249"/>
      <c r="O1464" s="249"/>
      <c r="P1464" s="249"/>
      <c r="Q1464" s="249"/>
      <c r="R1464" s="249"/>
      <c r="S1464" s="249"/>
      <c r="T1464" s="249"/>
      <c r="U1464" s="249"/>
      <c r="V1464" s="249"/>
    </row>
    <row r="1465">
      <c r="A1465" s="255" t="s">
        <v>2592</v>
      </c>
      <c r="B1465" s="248">
        <v>2023.0</v>
      </c>
      <c r="C1465" s="248" t="s">
        <v>2324</v>
      </c>
      <c r="D1465" s="248" t="s">
        <v>2331</v>
      </c>
      <c r="E1465" s="248" t="s">
        <v>2357</v>
      </c>
      <c r="F1465" s="248" t="s">
        <v>2327</v>
      </c>
      <c r="G1465" s="248" t="s">
        <v>34</v>
      </c>
      <c r="H1465" s="257" t="s">
        <v>2340</v>
      </c>
      <c r="I1465" s="248"/>
      <c r="J1465" s="248"/>
      <c r="K1465" s="249"/>
      <c r="L1465" s="248"/>
      <c r="M1465" s="249"/>
      <c r="N1465" s="249"/>
      <c r="O1465" s="249"/>
      <c r="P1465" s="249"/>
      <c r="Q1465" s="249"/>
      <c r="R1465" s="249"/>
      <c r="S1465" s="249"/>
      <c r="T1465" s="249"/>
      <c r="U1465" s="249"/>
      <c r="V1465" s="249"/>
    </row>
    <row r="1466">
      <c r="A1466" s="255" t="s">
        <v>2593</v>
      </c>
      <c r="B1466" s="248">
        <v>2023.0</v>
      </c>
      <c r="C1466" s="248" t="s">
        <v>2343</v>
      </c>
      <c r="D1466" s="248" t="s">
        <v>2331</v>
      </c>
      <c r="E1466" s="248" t="s">
        <v>2447</v>
      </c>
      <c r="F1466" s="248" t="s">
        <v>2327</v>
      </c>
      <c r="G1466" s="248" t="s">
        <v>34</v>
      </c>
      <c r="H1466" s="257" t="s">
        <v>2328</v>
      </c>
      <c r="I1466" s="248"/>
      <c r="J1466" s="248"/>
      <c r="K1466" s="249"/>
      <c r="L1466" s="248"/>
      <c r="M1466" s="249"/>
      <c r="N1466" s="249"/>
      <c r="O1466" s="249"/>
      <c r="P1466" s="249"/>
      <c r="Q1466" s="249"/>
      <c r="R1466" s="249"/>
      <c r="S1466" s="249"/>
      <c r="T1466" s="249"/>
      <c r="U1466" s="249"/>
      <c r="V1466" s="249"/>
    </row>
    <row r="1467">
      <c r="A1467" s="255" t="s">
        <v>2594</v>
      </c>
      <c r="B1467" s="248">
        <v>2023.0</v>
      </c>
      <c r="C1467" s="248" t="s">
        <v>2324</v>
      </c>
      <c r="D1467" s="248" t="s">
        <v>2331</v>
      </c>
      <c r="E1467" s="248" t="s">
        <v>2357</v>
      </c>
      <c r="F1467" s="248" t="s">
        <v>2327</v>
      </c>
      <c r="G1467" s="248" t="s">
        <v>34</v>
      </c>
      <c r="H1467" s="257" t="s">
        <v>2328</v>
      </c>
      <c r="I1467" s="248"/>
      <c r="J1467" s="248"/>
      <c r="K1467" s="249"/>
      <c r="L1467" s="248"/>
      <c r="M1467" s="249"/>
      <c r="N1467" s="249"/>
      <c r="O1467" s="249"/>
      <c r="P1467" s="249"/>
      <c r="Q1467" s="249"/>
      <c r="R1467" s="249"/>
      <c r="S1467" s="249"/>
      <c r="T1467" s="249"/>
      <c r="U1467" s="249"/>
      <c r="V1467" s="249"/>
    </row>
    <row r="1468">
      <c r="A1468" s="255" t="s">
        <v>2595</v>
      </c>
      <c r="B1468" s="248">
        <v>2023.0</v>
      </c>
      <c r="C1468" s="248" t="s">
        <v>2343</v>
      </c>
      <c r="D1468" s="248" t="s">
        <v>2331</v>
      </c>
      <c r="E1468" s="248" t="s">
        <v>2332</v>
      </c>
      <c r="F1468" s="248" t="s">
        <v>2327</v>
      </c>
      <c r="G1468" s="248" t="s">
        <v>34</v>
      </c>
      <c r="H1468" s="257" t="s">
        <v>2333</v>
      </c>
      <c r="I1468" s="248"/>
      <c r="J1468" s="248"/>
      <c r="K1468" s="249"/>
      <c r="L1468" s="248"/>
      <c r="M1468" s="249"/>
      <c r="N1468" s="249"/>
      <c r="O1468" s="249"/>
      <c r="P1468" s="249"/>
      <c r="Q1468" s="249"/>
      <c r="R1468" s="249"/>
      <c r="S1468" s="249"/>
      <c r="T1468" s="249"/>
      <c r="U1468" s="249"/>
      <c r="V1468" s="249"/>
    </row>
    <row r="1469">
      <c r="A1469" s="255" t="s">
        <v>2596</v>
      </c>
      <c r="B1469" s="248">
        <v>2023.0</v>
      </c>
      <c r="C1469" s="248" t="s">
        <v>2343</v>
      </c>
      <c r="D1469" s="248" t="s">
        <v>2325</v>
      </c>
      <c r="E1469" s="248" t="s">
        <v>2347</v>
      </c>
      <c r="F1469" s="248" t="s">
        <v>2327</v>
      </c>
      <c r="G1469" s="248" t="s">
        <v>34</v>
      </c>
      <c r="H1469" s="257" t="s">
        <v>2340</v>
      </c>
      <c r="I1469" s="248"/>
      <c r="J1469" s="248"/>
      <c r="K1469" s="249"/>
      <c r="L1469" s="248"/>
      <c r="M1469" s="249"/>
      <c r="N1469" s="249"/>
      <c r="O1469" s="249"/>
      <c r="P1469" s="249"/>
      <c r="Q1469" s="249"/>
      <c r="R1469" s="249"/>
      <c r="S1469" s="249"/>
      <c r="T1469" s="249"/>
      <c r="U1469" s="249"/>
      <c r="V1469" s="249"/>
    </row>
    <row r="1470">
      <c r="A1470" s="255" t="s">
        <v>2597</v>
      </c>
      <c r="B1470" s="248">
        <v>2023.0</v>
      </c>
      <c r="C1470" s="248" t="s">
        <v>2324</v>
      </c>
      <c r="D1470" s="248" t="s">
        <v>2331</v>
      </c>
      <c r="E1470" s="248" t="s">
        <v>2357</v>
      </c>
      <c r="F1470" s="248" t="s">
        <v>2327</v>
      </c>
      <c r="G1470" s="248" t="s">
        <v>34</v>
      </c>
      <c r="H1470" s="257" t="s">
        <v>2333</v>
      </c>
      <c r="I1470" s="248"/>
      <c r="J1470" s="248"/>
      <c r="K1470" s="249"/>
      <c r="L1470" s="248"/>
      <c r="M1470" s="249"/>
      <c r="N1470" s="249"/>
      <c r="O1470" s="249"/>
      <c r="P1470" s="249"/>
      <c r="Q1470" s="249"/>
      <c r="R1470" s="249"/>
      <c r="S1470" s="249"/>
      <c r="T1470" s="249"/>
      <c r="U1470" s="249"/>
      <c r="V1470" s="249"/>
    </row>
    <row r="1471">
      <c r="A1471" s="255" t="s">
        <v>2598</v>
      </c>
      <c r="B1471" s="248">
        <v>2023.0</v>
      </c>
      <c r="C1471" s="248" t="s">
        <v>2349</v>
      </c>
      <c r="D1471" s="248" t="s">
        <v>2331</v>
      </c>
      <c r="E1471" s="248" t="s">
        <v>2332</v>
      </c>
      <c r="F1471" s="248" t="s">
        <v>2336</v>
      </c>
      <c r="G1471" s="248" t="s">
        <v>34</v>
      </c>
      <c r="H1471" s="257" t="s">
        <v>2340</v>
      </c>
      <c r="I1471" s="248"/>
      <c r="J1471" s="248"/>
      <c r="K1471" s="249"/>
      <c r="L1471" s="248"/>
      <c r="M1471" s="249"/>
      <c r="N1471" s="249"/>
      <c r="O1471" s="249"/>
      <c r="P1471" s="249"/>
      <c r="Q1471" s="249"/>
      <c r="R1471" s="249"/>
      <c r="S1471" s="249"/>
      <c r="T1471" s="249"/>
      <c r="U1471" s="249"/>
      <c r="V1471" s="249"/>
    </row>
    <row r="1472">
      <c r="A1472" s="255" t="s">
        <v>2599</v>
      </c>
      <c r="B1472" s="248">
        <v>2023.0</v>
      </c>
      <c r="C1472" s="248" t="s">
        <v>2324</v>
      </c>
      <c r="D1472" s="248" t="s">
        <v>2331</v>
      </c>
      <c r="E1472" s="248" t="s">
        <v>2357</v>
      </c>
      <c r="F1472" s="248" t="s">
        <v>2327</v>
      </c>
      <c r="G1472" s="248" t="s">
        <v>34</v>
      </c>
      <c r="H1472" s="257" t="s">
        <v>2340</v>
      </c>
      <c r="I1472" s="248"/>
      <c r="J1472" s="248"/>
      <c r="K1472" s="249"/>
      <c r="L1472" s="248"/>
      <c r="M1472" s="249"/>
      <c r="N1472" s="249"/>
      <c r="O1472" s="249"/>
      <c r="P1472" s="249"/>
      <c r="Q1472" s="249"/>
      <c r="R1472" s="249"/>
      <c r="S1472" s="249"/>
      <c r="T1472" s="249"/>
      <c r="U1472" s="249"/>
      <c r="V1472" s="249"/>
    </row>
    <row r="1473">
      <c r="A1473" s="255" t="s">
        <v>2600</v>
      </c>
      <c r="B1473" s="248">
        <v>2023.0</v>
      </c>
      <c r="C1473" s="248" t="s">
        <v>2349</v>
      </c>
      <c r="D1473" s="248" t="s">
        <v>2331</v>
      </c>
      <c r="E1473" s="248" t="s">
        <v>2335</v>
      </c>
      <c r="F1473" s="248" t="s">
        <v>2336</v>
      </c>
      <c r="G1473" s="248" t="s">
        <v>34</v>
      </c>
      <c r="H1473" s="257" t="s">
        <v>2333</v>
      </c>
      <c r="I1473" s="248"/>
      <c r="J1473" s="248"/>
      <c r="K1473" s="249"/>
      <c r="L1473" s="248"/>
      <c r="M1473" s="249"/>
      <c r="N1473" s="249"/>
      <c r="O1473" s="249"/>
      <c r="P1473" s="249"/>
      <c r="Q1473" s="249"/>
      <c r="R1473" s="249"/>
      <c r="S1473" s="249"/>
      <c r="T1473" s="249"/>
      <c r="U1473" s="249"/>
      <c r="V1473" s="249"/>
    </row>
    <row r="1474">
      <c r="A1474" s="255" t="s">
        <v>2601</v>
      </c>
      <c r="B1474" s="248">
        <v>2023.0</v>
      </c>
      <c r="C1474" s="248" t="s">
        <v>2324</v>
      </c>
      <c r="D1474" s="248" t="s">
        <v>2331</v>
      </c>
      <c r="E1474" s="248" t="s">
        <v>2335</v>
      </c>
      <c r="F1474" s="248" t="s">
        <v>2327</v>
      </c>
      <c r="G1474" s="248" t="s">
        <v>34</v>
      </c>
      <c r="H1474" s="257" t="s">
        <v>2340</v>
      </c>
      <c r="I1474" s="248"/>
      <c r="J1474" s="248"/>
      <c r="K1474" s="249"/>
      <c r="L1474" s="248"/>
      <c r="M1474" s="249"/>
      <c r="N1474" s="249"/>
      <c r="O1474" s="249"/>
      <c r="P1474" s="249"/>
      <c r="Q1474" s="249"/>
      <c r="R1474" s="249"/>
      <c r="S1474" s="249"/>
      <c r="T1474" s="249"/>
      <c r="U1474" s="249"/>
      <c r="V1474" s="249"/>
    </row>
    <row r="1475">
      <c r="A1475" s="255" t="s">
        <v>2602</v>
      </c>
      <c r="B1475" s="248">
        <v>2023.0</v>
      </c>
      <c r="C1475" s="248" t="s">
        <v>2349</v>
      </c>
      <c r="D1475" s="248" t="s">
        <v>2331</v>
      </c>
      <c r="E1475" s="248" t="s">
        <v>2335</v>
      </c>
      <c r="F1475" s="248" t="s">
        <v>2327</v>
      </c>
      <c r="G1475" s="248" t="s">
        <v>34</v>
      </c>
      <c r="H1475" s="257" t="s">
        <v>2333</v>
      </c>
      <c r="I1475" s="248"/>
      <c r="J1475" s="248"/>
      <c r="K1475" s="249"/>
      <c r="L1475" s="248"/>
      <c r="M1475" s="249"/>
      <c r="N1475" s="249"/>
      <c r="O1475" s="249"/>
      <c r="P1475" s="249"/>
      <c r="Q1475" s="249"/>
      <c r="R1475" s="249"/>
      <c r="S1475" s="249"/>
      <c r="T1475" s="249"/>
      <c r="U1475" s="249"/>
      <c r="V1475" s="249"/>
    </row>
    <row r="1476">
      <c r="A1476" s="255" t="s">
        <v>2603</v>
      </c>
      <c r="B1476" s="248">
        <v>2023.0</v>
      </c>
      <c r="C1476" s="248" t="s">
        <v>2324</v>
      </c>
      <c r="D1476" s="248" t="s">
        <v>2331</v>
      </c>
      <c r="E1476" s="248" t="s">
        <v>2447</v>
      </c>
      <c r="F1476" s="248" t="s">
        <v>2327</v>
      </c>
      <c r="G1476" s="248" t="s">
        <v>34</v>
      </c>
      <c r="H1476" s="257" t="s">
        <v>2340</v>
      </c>
      <c r="I1476" s="248"/>
      <c r="J1476" s="248"/>
      <c r="K1476" s="249"/>
      <c r="L1476" s="248"/>
      <c r="M1476" s="249"/>
      <c r="N1476" s="249"/>
      <c r="O1476" s="249"/>
      <c r="P1476" s="249"/>
      <c r="Q1476" s="249"/>
      <c r="R1476" s="249"/>
      <c r="S1476" s="249"/>
      <c r="T1476" s="249"/>
      <c r="U1476" s="249"/>
      <c r="V1476" s="249"/>
    </row>
    <row r="1477">
      <c r="A1477" s="255" t="s">
        <v>2604</v>
      </c>
      <c r="B1477" s="248">
        <v>2023.0</v>
      </c>
      <c r="C1477" s="248" t="s">
        <v>2343</v>
      </c>
      <c r="D1477" s="248" t="s">
        <v>2325</v>
      </c>
      <c r="E1477" s="248" t="s">
        <v>2391</v>
      </c>
      <c r="F1477" s="248" t="s">
        <v>2370</v>
      </c>
      <c r="G1477" s="248" t="s">
        <v>34</v>
      </c>
      <c r="H1477" s="257" t="s">
        <v>2337</v>
      </c>
      <c r="I1477" s="248"/>
      <c r="J1477" s="248"/>
      <c r="K1477" s="249"/>
      <c r="L1477" s="248"/>
      <c r="M1477" s="249"/>
      <c r="N1477" s="249"/>
      <c r="O1477" s="249"/>
      <c r="P1477" s="249"/>
      <c r="Q1477" s="249"/>
      <c r="R1477" s="249"/>
      <c r="S1477" s="249"/>
      <c r="T1477" s="249"/>
      <c r="U1477" s="249"/>
      <c r="V1477" s="249"/>
    </row>
    <row r="1478">
      <c r="A1478" s="255" t="s">
        <v>2605</v>
      </c>
      <c r="B1478" s="248">
        <v>2023.0</v>
      </c>
      <c r="C1478" s="248" t="s">
        <v>2343</v>
      </c>
      <c r="D1478" s="248" t="s">
        <v>2325</v>
      </c>
      <c r="E1478" s="248" t="s">
        <v>2391</v>
      </c>
      <c r="F1478" s="248" t="s">
        <v>2370</v>
      </c>
      <c r="G1478" s="248" t="s">
        <v>34</v>
      </c>
      <c r="H1478" s="257" t="s">
        <v>2337</v>
      </c>
      <c r="I1478" s="248"/>
      <c r="J1478" s="248"/>
      <c r="K1478" s="249"/>
      <c r="L1478" s="248"/>
      <c r="M1478" s="249"/>
      <c r="N1478" s="249"/>
      <c r="O1478" s="249"/>
      <c r="P1478" s="249"/>
      <c r="Q1478" s="249"/>
      <c r="R1478" s="249"/>
      <c r="S1478" s="249"/>
      <c r="T1478" s="249"/>
      <c r="U1478" s="249"/>
      <c r="V1478" s="249"/>
    </row>
    <row r="1479">
      <c r="A1479" s="255" t="s">
        <v>2606</v>
      </c>
      <c r="B1479" s="248">
        <v>2023.0</v>
      </c>
      <c r="C1479" s="248" t="s">
        <v>2324</v>
      </c>
      <c r="D1479" s="248" t="s">
        <v>2325</v>
      </c>
      <c r="E1479" s="248" t="s">
        <v>2347</v>
      </c>
      <c r="F1479" s="248" t="s">
        <v>2370</v>
      </c>
      <c r="G1479" s="248" t="s">
        <v>34</v>
      </c>
      <c r="H1479" s="257" t="s">
        <v>2328</v>
      </c>
      <c r="I1479" s="248"/>
      <c r="J1479" s="248"/>
      <c r="K1479" s="249"/>
      <c r="L1479" s="248"/>
      <c r="M1479" s="249"/>
      <c r="N1479" s="249"/>
      <c r="O1479" s="249"/>
      <c r="P1479" s="249"/>
      <c r="Q1479" s="249"/>
      <c r="R1479" s="249"/>
      <c r="S1479" s="249"/>
      <c r="T1479" s="249"/>
      <c r="U1479" s="249"/>
      <c r="V1479" s="249"/>
    </row>
    <row r="1480">
      <c r="A1480" s="255" t="s">
        <v>2607</v>
      </c>
      <c r="B1480" s="248">
        <v>2023.0</v>
      </c>
      <c r="C1480" s="248" t="s">
        <v>2324</v>
      </c>
      <c r="D1480" s="248" t="s">
        <v>2325</v>
      </c>
      <c r="E1480" s="248" t="s">
        <v>2347</v>
      </c>
      <c r="F1480" s="248" t="s">
        <v>2370</v>
      </c>
      <c r="G1480" s="248" t="s">
        <v>34</v>
      </c>
      <c r="H1480" s="257" t="s">
        <v>2328</v>
      </c>
      <c r="I1480" s="248"/>
      <c r="J1480" s="248"/>
      <c r="K1480" s="249"/>
      <c r="L1480" s="248"/>
      <c r="M1480" s="249"/>
      <c r="N1480" s="249"/>
      <c r="O1480" s="249"/>
      <c r="P1480" s="249"/>
      <c r="Q1480" s="249"/>
      <c r="R1480" s="249"/>
      <c r="S1480" s="249"/>
      <c r="T1480" s="249"/>
      <c r="U1480" s="249"/>
      <c r="V1480" s="249"/>
    </row>
    <row r="1481">
      <c r="A1481" s="255" t="s">
        <v>2608</v>
      </c>
      <c r="B1481" s="248">
        <v>2023.0</v>
      </c>
      <c r="C1481" s="248" t="s">
        <v>2349</v>
      </c>
      <c r="D1481" s="248" t="s">
        <v>2331</v>
      </c>
      <c r="E1481" s="248" t="s">
        <v>2332</v>
      </c>
      <c r="F1481" s="248" t="s">
        <v>2327</v>
      </c>
      <c r="G1481" s="248" t="s">
        <v>34</v>
      </c>
      <c r="H1481" s="257" t="s">
        <v>2333</v>
      </c>
      <c r="I1481" s="248"/>
      <c r="J1481" s="248"/>
      <c r="K1481" s="249"/>
      <c r="L1481" s="248"/>
      <c r="M1481" s="249"/>
      <c r="N1481" s="249"/>
      <c r="O1481" s="249"/>
      <c r="P1481" s="249"/>
      <c r="Q1481" s="249"/>
      <c r="R1481" s="249"/>
      <c r="S1481" s="249"/>
      <c r="T1481" s="249"/>
      <c r="U1481" s="249"/>
      <c r="V1481" s="249"/>
    </row>
    <row r="1482">
      <c r="A1482" s="255" t="s">
        <v>2609</v>
      </c>
      <c r="B1482" s="248">
        <v>2023.0</v>
      </c>
      <c r="C1482" s="248" t="s">
        <v>2324</v>
      </c>
      <c r="D1482" s="248" t="s">
        <v>2331</v>
      </c>
      <c r="E1482" s="248" t="s">
        <v>2335</v>
      </c>
      <c r="F1482" s="248" t="s">
        <v>2327</v>
      </c>
      <c r="G1482" s="248" t="s">
        <v>34</v>
      </c>
      <c r="H1482" s="257" t="s">
        <v>2337</v>
      </c>
      <c r="I1482" s="248"/>
      <c r="J1482" s="248"/>
      <c r="K1482" s="249"/>
      <c r="L1482" s="248"/>
      <c r="M1482" s="249"/>
      <c r="N1482" s="249"/>
      <c r="O1482" s="249"/>
      <c r="P1482" s="249"/>
      <c r="Q1482" s="249"/>
      <c r="R1482" s="249"/>
      <c r="S1482" s="249"/>
      <c r="T1482" s="249"/>
      <c r="U1482" s="249"/>
      <c r="V1482" s="249"/>
    </row>
    <row r="1483">
      <c r="A1483" s="255" t="s">
        <v>2610</v>
      </c>
      <c r="B1483" s="248">
        <v>2023.0</v>
      </c>
      <c r="C1483" s="248" t="s">
        <v>2324</v>
      </c>
      <c r="D1483" s="248" t="s">
        <v>2331</v>
      </c>
      <c r="E1483" s="248" t="s">
        <v>2362</v>
      </c>
      <c r="F1483" s="248" t="s">
        <v>2327</v>
      </c>
      <c r="G1483" s="248" t="s">
        <v>34</v>
      </c>
      <c r="H1483" s="257" t="s">
        <v>2337</v>
      </c>
      <c r="I1483" s="248"/>
      <c r="J1483" s="248"/>
      <c r="K1483" s="249"/>
      <c r="L1483" s="248"/>
      <c r="M1483" s="249"/>
      <c r="N1483" s="249"/>
      <c r="O1483" s="249"/>
      <c r="P1483" s="249"/>
      <c r="Q1483" s="249"/>
      <c r="R1483" s="249"/>
      <c r="S1483" s="249"/>
      <c r="T1483" s="249"/>
      <c r="U1483" s="249"/>
      <c r="V1483" s="249"/>
    </row>
    <row r="1484">
      <c r="A1484" s="255" t="s">
        <v>2611</v>
      </c>
      <c r="B1484" s="248">
        <v>2023.0</v>
      </c>
      <c r="C1484" s="248" t="s">
        <v>2349</v>
      </c>
      <c r="D1484" s="248" t="s">
        <v>2331</v>
      </c>
      <c r="E1484" s="248" t="s">
        <v>2335</v>
      </c>
      <c r="F1484" s="248" t="s">
        <v>2370</v>
      </c>
      <c r="G1484" s="248" t="s">
        <v>34</v>
      </c>
      <c r="H1484" s="257" t="s">
        <v>2337</v>
      </c>
      <c r="I1484" s="248"/>
      <c r="J1484" s="248"/>
      <c r="K1484" s="249"/>
      <c r="L1484" s="248"/>
      <c r="M1484" s="249"/>
      <c r="N1484" s="249"/>
      <c r="O1484" s="249"/>
      <c r="P1484" s="249"/>
      <c r="Q1484" s="249"/>
      <c r="R1484" s="249"/>
      <c r="S1484" s="249"/>
      <c r="T1484" s="249"/>
      <c r="U1484" s="249"/>
      <c r="V1484" s="249"/>
    </row>
    <row r="1485">
      <c r="A1485" s="255" t="s">
        <v>2612</v>
      </c>
      <c r="B1485" s="248">
        <v>2023.0</v>
      </c>
      <c r="C1485" s="248" t="s">
        <v>2349</v>
      </c>
      <c r="D1485" s="248" t="s">
        <v>2331</v>
      </c>
      <c r="E1485" s="248" t="s">
        <v>2335</v>
      </c>
      <c r="F1485" s="248" t="s">
        <v>2336</v>
      </c>
      <c r="G1485" s="248" t="s">
        <v>34</v>
      </c>
      <c r="H1485" s="257" t="s">
        <v>2340</v>
      </c>
      <c r="I1485" s="248"/>
      <c r="J1485" s="248"/>
      <c r="K1485" s="249"/>
      <c r="L1485" s="248"/>
      <c r="M1485" s="249"/>
      <c r="N1485" s="249"/>
      <c r="O1485" s="249"/>
      <c r="P1485" s="249"/>
      <c r="Q1485" s="249"/>
      <c r="R1485" s="249"/>
      <c r="S1485" s="249"/>
      <c r="T1485" s="249"/>
      <c r="U1485" s="249"/>
      <c r="V1485" s="249"/>
    </row>
    <row r="1486">
      <c r="A1486" s="255" t="s">
        <v>2613</v>
      </c>
      <c r="B1486" s="248">
        <v>2023.0</v>
      </c>
      <c r="C1486" s="248" t="s">
        <v>2349</v>
      </c>
      <c r="D1486" s="248" t="s">
        <v>2331</v>
      </c>
      <c r="E1486" s="248" t="s">
        <v>2335</v>
      </c>
      <c r="F1486" s="248" t="s">
        <v>2370</v>
      </c>
      <c r="G1486" s="248" t="s">
        <v>34</v>
      </c>
      <c r="H1486" s="257" t="s">
        <v>2328</v>
      </c>
      <c r="I1486" s="248"/>
      <c r="J1486" s="248"/>
      <c r="K1486" s="249"/>
      <c r="L1486" s="248"/>
      <c r="M1486" s="249"/>
      <c r="N1486" s="249"/>
      <c r="O1486" s="249"/>
      <c r="P1486" s="249"/>
      <c r="Q1486" s="249"/>
      <c r="R1486" s="249"/>
      <c r="S1486" s="249"/>
      <c r="T1486" s="249"/>
      <c r="U1486" s="249"/>
      <c r="V1486" s="249"/>
    </row>
    <row r="1487">
      <c r="A1487" s="255" t="s">
        <v>2614</v>
      </c>
      <c r="B1487" s="248">
        <v>2023.0</v>
      </c>
      <c r="C1487" s="248" t="s">
        <v>2349</v>
      </c>
      <c r="D1487" s="248" t="s">
        <v>2325</v>
      </c>
      <c r="E1487" s="248" t="s">
        <v>2347</v>
      </c>
      <c r="F1487" s="248" t="s">
        <v>2336</v>
      </c>
      <c r="G1487" s="248" t="s">
        <v>34</v>
      </c>
      <c r="H1487" s="257" t="s">
        <v>2328</v>
      </c>
      <c r="I1487" s="248"/>
      <c r="J1487" s="248"/>
      <c r="K1487" s="249"/>
      <c r="L1487" s="248"/>
      <c r="M1487" s="249"/>
      <c r="N1487" s="249"/>
      <c r="O1487" s="249"/>
      <c r="P1487" s="249"/>
      <c r="Q1487" s="249"/>
      <c r="R1487" s="249"/>
      <c r="S1487" s="249"/>
      <c r="T1487" s="249"/>
      <c r="U1487" s="249"/>
      <c r="V1487" s="249"/>
    </row>
    <row r="1488">
      <c r="A1488" s="255" t="s">
        <v>2615</v>
      </c>
      <c r="B1488" s="248">
        <v>2023.0</v>
      </c>
      <c r="C1488" s="248" t="s">
        <v>2343</v>
      </c>
      <c r="D1488" s="248" t="s">
        <v>2331</v>
      </c>
      <c r="E1488" s="248" t="s">
        <v>2335</v>
      </c>
      <c r="F1488" s="248" t="s">
        <v>2370</v>
      </c>
      <c r="G1488" s="248" t="s">
        <v>34</v>
      </c>
      <c r="H1488" s="257" t="s">
        <v>2328</v>
      </c>
      <c r="I1488" s="248"/>
      <c r="J1488" s="248"/>
      <c r="K1488" s="248"/>
      <c r="L1488" s="248"/>
      <c r="M1488" s="249"/>
      <c r="N1488" s="249"/>
      <c r="O1488" s="249"/>
      <c r="P1488" s="249"/>
      <c r="Q1488" s="249"/>
      <c r="R1488" s="249"/>
      <c r="S1488" s="249"/>
      <c r="T1488" s="249"/>
      <c r="U1488" s="249"/>
      <c r="V1488" s="249"/>
    </row>
    <row r="1489">
      <c r="A1489" s="255" t="s">
        <v>2616</v>
      </c>
      <c r="B1489" s="248">
        <v>2023.0</v>
      </c>
      <c r="C1489" s="248" t="s">
        <v>2349</v>
      </c>
      <c r="D1489" s="248" t="s">
        <v>2331</v>
      </c>
      <c r="E1489" s="248" t="s">
        <v>2335</v>
      </c>
      <c r="F1489" s="248" t="s">
        <v>2336</v>
      </c>
      <c r="G1489" s="248" t="s">
        <v>34</v>
      </c>
      <c r="H1489" s="257" t="s">
        <v>2340</v>
      </c>
      <c r="I1489" s="248"/>
      <c r="J1489" s="248"/>
      <c r="K1489" s="248"/>
      <c r="L1489" s="248"/>
      <c r="M1489" s="249"/>
      <c r="N1489" s="249"/>
      <c r="O1489" s="249"/>
      <c r="P1489" s="249"/>
      <c r="Q1489" s="249"/>
      <c r="R1489" s="249"/>
      <c r="S1489" s="249"/>
      <c r="T1489" s="249"/>
      <c r="U1489" s="249"/>
      <c r="V1489" s="249"/>
    </row>
    <row r="1490">
      <c r="A1490" s="255" t="s">
        <v>2617</v>
      </c>
      <c r="B1490" s="248">
        <v>2023.0</v>
      </c>
      <c r="C1490" s="248" t="s">
        <v>2349</v>
      </c>
      <c r="D1490" s="248" t="s">
        <v>2331</v>
      </c>
      <c r="E1490" s="248" t="s">
        <v>2351</v>
      </c>
      <c r="F1490" s="248" t="s">
        <v>2370</v>
      </c>
      <c r="G1490" s="248" t="s">
        <v>34</v>
      </c>
      <c r="H1490" s="257" t="s">
        <v>2333</v>
      </c>
      <c r="I1490" s="248"/>
      <c r="J1490" s="248"/>
      <c r="K1490" s="248"/>
      <c r="L1490" s="248"/>
      <c r="M1490" s="249"/>
      <c r="N1490" s="249"/>
      <c r="O1490" s="249"/>
      <c r="P1490" s="249"/>
      <c r="Q1490" s="249"/>
      <c r="R1490" s="249"/>
      <c r="S1490" s="249"/>
      <c r="T1490" s="249"/>
      <c r="U1490" s="249"/>
      <c r="V1490" s="249"/>
    </row>
    <row r="1491">
      <c r="A1491" s="255" t="s">
        <v>2618</v>
      </c>
      <c r="B1491" s="248">
        <v>2023.0</v>
      </c>
      <c r="C1491" s="248" t="s">
        <v>2324</v>
      </c>
      <c r="D1491" s="248" t="s">
        <v>2331</v>
      </c>
      <c r="E1491" s="248" t="s">
        <v>2351</v>
      </c>
      <c r="F1491" s="248" t="s">
        <v>2327</v>
      </c>
      <c r="G1491" s="248" t="s">
        <v>34</v>
      </c>
      <c r="H1491" s="257" t="s">
        <v>2337</v>
      </c>
      <c r="I1491" s="248"/>
      <c r="J1491" s="248"/>
      <c r="K1491" s="248"/>
      <c r="L1491" s="248"/>
      <c r="M1491" s="249"/>
      <c r="N1491" s="249"/>
      <c r="O1491" s="249"/>
      <c r="P1491" s="249"/>
      <c r="Q1491" s="249"/>
      <c r="R1491" s="249"/>
      <c r="S1491" s="249"/>
      <c r="T1491" s="249"/>
      <c r="U1491" s="249"/>
      <c r="V1491" s="249"/>
    </row>
    <row r="1492">
      <c r="A1492" s="255" t="s">
        <v>2619</v>
      </c>
      <c r="B1492" s="248">
        <v>2023.0</v>
      </c>
      <c r="C1492" s="248" t="s">
        <v>2349</v>
      </c>
      <c r="D1492" s="248" t="s">
        <v>2331</v>
      </c>
      <c r="E1492" s="248" t="s">
        <v>2351</v>
      </c>
      <c r="F1492" s="248" t="s">
        <v>2336</v>
      </c>
      <c r="G1492" s="248" t="s">
        <v>34</v>
      </c>
      <c r="H1492" s="257" t="s">
        <v>2340</v>
      </c>
      <c r="I1492" s="248"/>
      <c r="J1492" s="248"/>
      <c r="K1492" s="248"/>
      <c r="L1492" s="248"/>
      <c r="M1492" s="249"/>
      <c r="N1492" s="249"/>
      <c r="O1492" s="249"/>
      <c r="P1492" s="249"/>
      <c r="Q1492" s="249"/>
      <c r="R1492" s="249"/>
      <c r="S1492" s="249"/>
      <c r="T1492" s="249"/>
      <c r="U1492" s="249"/>
      <c r="V1492" s="249"/>
    </row>
    <row r="1493">
      <c r="A1493" s="255" t="s">
        <v>2620</v>
      </c>
      <c r="B1493" s="248">
        <v>2023.0</v>
      </c>
      <c r="C1493" s="248" t="s">
        <v>2349</v>
      </c>
      <c r="D1493" s="248" t="s">
        <v>2331</v>
      </c>
      <c r="E1493" s="248" t="s">
        <v>2351</v>
      </c>
      <c r="F1493" s="248" t="s">
        <v>2370</v>
      </c>
      <c r="G1493" s="248" t="s">
        <v>34</v>
      </c>
      <c r="H1493" s="257" t="s">
        <v>2333</v>
      </c>
      <c r="I1493" s="248"/>
      <c r="J1493" s="248"/>
      <c r="K1493" s="248"/>
      <c r="L1493" s="248"/>
      <c r="M1493" s="249"/>
      <c r="N1493" s="249"/>
      <c r="O1493" s="249"/>
      <c r="P1493" s="249"/>
      <c r="Q1493" s="249"/>
      <c r="R1493" s="249"/>
      <c r="S1493" s="249"/>
      <c r="T1493" s="249"/>
      <c r="U1493" s="249"/>
      <c r="V1493" s="249"/>
    </row>
    <row r="1494">
      <c r="A1494" s="255" t="s">
        <v>2621</v>
      </c>
      <c r="B1494" s="248">
        <v>2023.0</v>
      </c>
      <c r="C1494" s="248" t="s">
        <v>2349</v>
      </c>
      <c r="D1494" s="248" t="s">
        <v>2331</v>
      </c>
      <c r="E1494" s="248" t="s">
        <v>2351</v>
      </c>
      <c r="F1494" s="248" t="s">
        <v>2370</v>
      </c>
      <c r="G1494" s="248" t="s">
        <v>34</v>
      </c>
      <c r="H1494" s="257" t="s">
        <v>2333</v>
      </c>
      <c r="I1494" s="248"/>
      <c r="J1494" s="248"/>
      <c r="K1494" s="248"/>
      <c r="L1494" s="248"/>
      <c r="M1494" s="249"/>
      <c r="N1494" s="249"/>
      <c r="O1494" s="249"/>
      <c r="P1494" s="249"/>
      <c r="Q1494" s="249"/>
      <c r="R1494" s="249"/>
      <c r="S1494" s="249"/>
      <c r="T1494" s="249"/>
      <c r="U1494" s="249"/>
      <c r="V1494" s="249"/>
    </row>
    <row r="1495">
      <c r="A1495" s="255" t="s">
        <v>2622</v>
      </c>
      <c r="B1495" s="248">
        <v>2023.0</v>
      </c>
      <c r="C1495" s="248" t="s">
        <v>2349</v>
      </c>
      <c r="D1495" s="248" t="s">
        <v>2331</v>
      </c>
      <c r="E1495" s="248" t="s">
        <v>2351</v>
      </c>
      <c r="F1495" s="248" t="s">
        <v>2336</v>
      </c>
      <c r="G1495" s="248" t="s">
        <v>34</v>
      </c>
      <c r="H1495" s="257" t="s">
        <v>2340</v>
      </c>
      <c r="I1495" s="248"/>
      <c r="J1495" s="248"/>
      <c r="K1495" s="248"/>
      <c r="L1495" s="248"/>
      <c r="M1495" s="249"/>
      <c r="N1495" s="249"/>
      <c r="O1495" s="249"/>
      <c r="P1495" s="249"/>
      <c r="Q1495" s="249"/>
      <c r="R1495" s="249"/>
      <c r="S1495" s="249"/>
      <c r="T1495" s="249"/>
      <c r="U1495" s="249"/>
      <c r="V1495" s="249"/>
    </row>
    <row r="1496">
      <c r="A1496" s="255" t="s">
        <v>2623</v>
      </c>
      <c r="B1496" s="248">
        <v>2023.0</v>
      </c>
      <c r="C1496" s="248" t="s">
        <v>2349</v>
      </c>
      <c r="D1496" s="248" t="s">
        <v>2331</v>
      </c>
      <c r="E1496" s="248" t="s">
        <v>2351</v>
      </c>
      <c r="F1496" s="248" t="s">
        <v>2336</v>
      </c>
      <c r="G1496" s="248" t="s">
        <v>34</v>
      </c>
      <c r="H1496" s="257" t="s">
        <v>2328</v>
      </c>
      <c r="I1496" s="248"/>
      <c r="J1496" s="248"/>
      <c r="K1496" s="248"/>
      <c r="L1496" s="248"/>
      <c r="M1496" s="249"/>
      <c r="N1496" s="249"/>
      <c r="O1496" s="249"/>
      <c r="P1496" s="249"/>
      <c r="Q1496" s="249"/>
      <c r="R1496" s="249"/>
      <c r="S1496" s="249"/>
      <c r="T1496" s="249"/>
      <c r="U1496" s="249"/>
      <c r="V1496" s="249"/>
    </row>
    <row r="1497">
      <c r="A1497" s="255" t="s">
        <v>2624</v>
      </c>
      <c r="B1497" s="248">
        <v>2023.0</v>
      </c>
      <c r="C1497" s="248" t="s">
        <v>2349</v>
      </c>
      <c r="D1497" s="248" t="s">
        <v>2331</v>
      </c>
      <c r="E1497" s="248" t="s">
        <v>2351</v>
      </c>
      <c r="F1497" s="248" t="s">
        <v>2327</v>
      </c>
      <c r="G1497" s="248" t="s">
        <v>34</v>
      </c>
      <c r="H1497" s="257" t="s">
        <v>2328</v>
      </c>
      <c r="I1497" s="248"/>
      <c r="J1497" s="248"/>
      <c r="K1497" s="248"/>
      <c r="L1497" s="248"/>
      <c r="M1497" s="249"/>
      <c r="N1497" s="249"/>
      <c r="O1497" s="249"/>
      <c r="P1497" s="249"/>
      <c r="Q1497" s="249"/>
      <c r="R1497" s="249"/>
      <c r="S1497" s="249"/>
      <c r="T1497" s="249"/>
      <c r="U1497" s="249"/>
      <c r="V1497" s="249"/>
    </row>
    <row r="1498">
      <c r="A1498" s="255" t="s">
        <v>2625</v>
      </c>
      <c r="B1498" s="248">
        <v>2023.0</v>
      </c>
      <c r="C1498" s="248" t="s">
        <v>2343</v>
      </c>
      <c r="D1498" s="248" t="s">
        <v>2325</v>
      </c>
      <c r="E1498" s="248" t="s">
        <v>2391</v>
      </c>
      <c r="F1498" s="248" t="s">
        <v>2336</v>
      </c>
      <c r="G1498" s="248" t="s">
        <v>34</v>
      </c>
      <c r="H1498" s="257" t="s">
        <v>2340</v>
      </c>
      <c r="I1498" s="248"/>
      <c r="J1498" s="248"/>
      <c r="K1498" s="248"/>
      <c r="L1498" s="248"/>
      <c r="M1498" s="249"/>
      <c r="N1498" s="249"/>
      <c r="O1498" s="249"/>
      <c r="P1498" s="249"/>
      <c r="Q1498" s="249"/>
      <c r="R1498" s="249"/>
      <c r="S1498" s="249"/>
      <c r="T1498" s="249"/>
      <c r="U1498" s="249"/>
      <c r="V1498" s="249"/>
    </row>
    <row r="1499">
      <c r="A1499" s="255" t="s">
        <v>2626</v>
      </c>
      <c r="B1499" s="248">
        <v>2023.0</v>
      </c>
      <c r="C1499" s="248" t="s">
        <v>2324</v>
      </c>
      <c r="D1499" s="248" t="s">
        <v>2331</v>
      </c>
      <c r="E1499" s="248" t="s">
        <v>2357</v>
      </c>
      <c r="F1499" s="248" t="s">
        <v>2327</v>
      </c>
      <c r="G1499" s="248" t="s">
        <v>34</v>
      </c>
      <c r="H1499" s="257" t="s">
        <v>2340</v>
      </c>
      <c r="I1499" s="248"/>
      <c r="J1499" s="248"/>
      <c r="K1499" s="248"/>
      <c r="L1499" s="248"/>
      <c r="M1499" s="249"/>
      <c r="N1499" s="249"/>
      <c r="O1499" s="249"/>
      <c r="P1499" s="249"/>
      <c r="Q1499" s="249"/>
      <c r="R1499" s="249"/>
      <c r="S1499" s="249"/>
      <c r="T1499" s="249"/>
      <c r="U1499" s="249"/>
      <c r="V1499" s="249"/>
    </row>
    <row r="1500">
      <c r="A1500" s="255" t="s">
        <v>2627</v>
      </c>
      <c r="B1500" s="248">
        <v>2023.0</v>
      </c>
      <c r="C1500" s="248" t="s">
        <v>2349</v>
      </c>
      <c r="D1500" s="248" t="s">
        <v>2331</v>
      </c>
      <c r="E1500" s="248" t="s">
        <v>2335</v>
      </c>
      <c r="F1500" s="248" t="s">
        <v>2336</v>
      </c>
      <c r="G1500" s="248" t="s">
        <v>34</v>
      </c>
      <c r="H1500" s="257" t="s">
        <v>2340</v>
      </c>
      <c r="I1500" s="248"/>
      <c r="J1500" s="248"/>
      <c r="K1500" s="248"/>
      <c r="L1500" s="248"/>
      <c r="M1500" s="249"/>
      <c r="N1500" s="249"/>
      <c r="O1500" s="249"/>
      <c r="P1500" s="249"/>
      <c r="Q1500" s="249"/>
      <c r="R1500" s="249"/>
      <c r="S1500" s="249"/>
      <c r="T1500" s="249"/>
      <c r="U1500" s="249"/>
      <c r="V1500" s="249"/>
    </row>
    <row r="1501">
      <c r="A1501" s="255" t="s">
        <v>2628</v>
      </c>
      <c r="B1501" s="248">
        <v>2023.0</v>
      </c>
      <c r="C1501" s="248" t="s">
        <v>2324</v>
      </c>
      <c r="D1501" s="248" t="s">
        <v>2331</v>
      </c>
      <c r="E1501" s="248" t="s">
        <v>2357</v>
      </c>
      <c r="F1501" s="248" t="s">
        <v>2336</v>
      </c>
      <c r="G1501" s="248" t="s">
        <v>34</v>
      </c>
      <c r="H1501" s="257" t="s">
        <v>2328</v>
      </c>
      <c r="I1501" s="248"/>
      <c r="J1501" s="248"/>
      <c r="K1501" s="248"/>
      <c r="L1501" s="248"/>
      <c r="M1501" s="249"/>
      <c r="N1501" s="249"/>
      <c r="O1501" s="249"/>
      <c r="P1501" s="249"/>
      <c r="Q1501" s="249"/>
      <c r="R1501" s="249"/>
      <c r="S1501" s="249"/>
      <c r="T1501" s="249"/>
      <c r="U1501" s="249"/>
      <c r="V1501" s="249"/>
    </row>
    <row r="1502">
      <c r="A1502" s="255" t="s">
        <v>2629</v>
      </c>
      <c r="B1502" s="248">
        <v>2023.0</v>
      </c>
      <c r="C1502" s="248" t="s">
        <v>2349</v>
      </c>
      <c r="D1502" s="248" t="s">
        <v>2325</v>
      </c>
      <c r="E1502" s="248" t="s">
        <v>2347</v>
      </c>
      <c r="F1502" s="248" t="s">
        <v>2336</v>
      </c>
      <c r="G1502" s="248" t="s">
        <v>34</v>
      </c>
      <c r="H1502" s="257" t="s">
        <v>2337</v>
      </c>
      <c r="I1502" s="248"/>
      <c r="J1502" s="248"/>
      <c r="K1502" s="248"/>
      <c r="L1502" s="248"/>
      <c r="M1502" s="249"/>
      <c r="N1502" s="249"/>
      <c r="O1502" s="249"/>
      <c r="P1502" s="249"/>
      <c r="Q1502" s="249"/>
      <c r="R1502" s="249"/>
      <c r="S1502" s="249"/>
      <c r="T1502" s="249"/>
      <c r="U1502" s="249"/>
      <c r="V1502" s="249"/>
    </row>
    <row r="1503">
      <c r="A1503" s="255" t="s">
        <v>2630</v>
      </c>
      <c r="B1503" s="248">
        <v>2023.0</v>
      </c>
      <c r="C1503" s="248" t="s">
        <v>2324</v>
      </c>
      <c r="D1503" s="248" t="s">
        <v>2331</v>
      </c>
      <c r="E1503" s="248" t="s">
        <v>2335</v>
      </c>
      <c r="F1503" s="248" t="s">
        <v>2327</v>
      </c>
      <c r="G1503" s="248" t="s">
        <v>34</v>
      </c>
      <c r="H1503" s="257" t="s">
        <v>2340</v>
      </c>
      <c r="I1503" s="248"/>
      <c r="J1503" s="248"/>
      <c r="K1503" s="248"/>
      <c r="L1503" s="248"/>
      <c r="M1503" s="249"/>
      <c r="N1503" s="249"/>
      <c r="O1503" s="249"/>
      <c r="P1503" s="249"/>
      <c r="Q1503" s="249"/>
      <c r="R1503" s="249"/>
      <c r="S1503" s="249"/>
      <c r="T1503" s="249"/>
      <c r="U1503" s="249"/>
      <c r="V1503" s="249"/>
    </row>
    <row r="1504">
      <c r="A1504" s="255" t="s">
        <v>2631</v>
      </c>
      <c r="B1504" s="248">
        <v>2023.0</v>
      </c>
      <c r="C1504" s="248" t="s">
        <v>2343</v>
      </c>
      <c r="D1504" s="248" t="s">
        <v>2325</v>
      </c>
      <c r="E1504" s="248" t="s">
        <v>2326</v>
      </c>
      <c r="F1504" s="248" t="s">
        <v>2327</v>
      </c>
      <c r="G1504" s="248" t="s">
        <v>34</v>
      </c>
      <c r="H1504" s="257" t="s">
        <v>2340</v>
      </c>
      <c r="I1504" s="248"/>
      <c r="J1504" s="248"/>
      <c r="K1504" s="248"/>
      <c r="L1504" s="248"/>
      <c r="M1504" s="249"/>
      <c r="N1504" s="249"/>
      <c r="O1504" s="249"/>
      <c r="P1504" s="249"/>
      <c r="Q1504" s="249"/>
      <c r="R1504" s="249"/>
      <c r="S1504" s="249"/>
      <c r="T1504" s="249"/>
      <c r="U1504" s="249"/>
      <c r="V1504" s="249"/>
    </row>
    <row r="1505">
      <c r="A1505" s="255" t="s">
        <v>2632</v>
      </c>
      <c r="B1505" s="248">
        <v>2023.0</v>
      </c>
      <c r="C1505" s="248" t="s">
        <v>2343</v>
      </c>
      <c r="D1505" s="248" t="s">
        <v>2325</v>
      </c>
      <c r="E1505" s="248" t="s">
        <v>2347</v>
      </c>
      <c r="F1505" s="248" t="s">
        <v>2336</v>
      </c>
      <c r="G1505" s="248" t="s">
        <v>34</v>
      </c>
      <c r="H1505" s="257" t="s">
        <v>2333</v>
      </c>
      <c r="I1505" s="248"/>
      <c r="J1505" s="248"/>
      <c r="K1505" s="248"/>
      <c r="L1505" s="248"/>
      <c r="M1505" s="249"/>
      <c r="N1505" s="249"/>
      <c r="O1505" s="249"/>
      <c r="P1505" s="249"/>
      <c r="Q1505" s="249"/>
      <c r="R1505" s="249"/>
      <c r="S1505" s="249"/>
      <c r="T1505" s="249"/>
      <c r="U1505" s="249"/>
      <c r="V1505" s="249"/>
    </row>
    <row r="1506">
      <c r="A1506" s="255" t="s">
        <v>2633</v>
      </c>
      <c r="B1506" s="248">
        <v>2023.0</v>
      </c>
      <c r="C1506" s="248" t="s">
        <v>2324</v>
      </c>
      <c r="D1506" s="248" t="s">
        <v>2331</v>
      </c>
      <c r="E1506" s="248" t="s">
        <v>2332</v>
      </c>
      <c r="F1506" s="248" t="s">
        <v>2327</v>
      </c>
      <c r="G1506" s="248" t="s">
        <v>34</v>
      </c>
      <c r="H1506" s="257" t="s">
        <v>2340</v>
      </c>
      <c r="I1506" s="248"/>
      <c r="J1506" s="248"/>
      <c r="K1506" s="248"/>
      <c r="L1506" s="248"/>
      <c r="M1506" s="249"/>
      <c r="N1506" s="249"/>
      <c r="O1506" s="249"/>
      <c r="P1506" s="249"/>
      <c r="Q1506" s="249"/>
      <c r="R1506" s="249"/>
      <c r="S1506" s="249"/>
      <c r="T1506" s="249"/>
      <c r="U1506" s="249"/>
      <c r="V1506" s="249"/>
    </row>
    <row r="1507">
      <c r="A1507" s="255" t="s">
        <v>2634</v>
      </c>
      <c r="B1507" s="248">
        <v>2023.0</v>
      </c>
      <c r="C1507" s="248" t="s">
        <v>2324</v>
      </c>
      <c r="D1507" s="248" t="s">
        <v>2331</v>
      </c>
      <c r="E1507" s="248" t="s">
        <v>2335</v>
      </c>
      <c r="F1507" s="248" t="s">
        <v>2370</v>
      </c>
      <c r="G1507" s="248" t="s">
        <v>34</v>
      </c>
      <c r="H1507" s="257" t="s">
        <v>2340</v>
      </c>
      <c r="I1507" s="248"/>
      <c r="J1507" s="248"/>
      <c r="K1507" s="248"/>
      <c r="L1507" s="248"/>
      <c r="M1507" s="249"/>
      <c r="N1507" s="249"/>
      <c r="O1507" s="249"/>
      <c r="P1507" s="249"/>
      <c r="Q1507" s="249"/>
      <c r="R1507" s="249"/>
      <c r="S1507" s="249"/>
      <c r="T1507" s="249"/>
      <c r="U1507" s="249"/>
      <c r="V1507" s="249"/>
    </row>
    <row r="1508">
      <c r="A1508" s="255" t="s">
        <v>2635</v>
      </c>
      <c r="B1508" s="248">
        <v>2023.0</v>
      </c>
      <c r="C1508" s="248" t="s">
        <v>2324</v>
      </c>
      <c r="D1508" s="248" t="s">
        <v>2331</v>
      </c>
      <c r="E1508" s="248" t="s">
        <v>2335</v>
      </c>
      <c r="F1508" s="248" t="s">
        <v>2327</v>
      </c>
      <c r="G1508" s="248" t="s">
        <v>34</v>
      </c>
      <c r="H1508" s="257" t="s">
        <v>2328</v>
      </c>
      <c r="I1508" s="248"/>
      <c r="J1508" s="248"/>
      <c r="K1508" s="248"/>
      <c r="L1508" s="248"/>
      <c r="M1508" s="249"/>
      <c r="N1508" s="249"/>
      <c r="O1508" s="249"/>
      <c r="P1508" s="249"/>
      <c r="Q1508" s="249"/>
      <c r="R1508" s="249"/>
      <c r="S1508" s="249"/>
      <c r="T1508" s="249"/>
      <c r="U1508" s="249"/>
      <c r="V1508" s="249"/>
    </row>
    <row r="1509">
      <c r="A1509" s="255" t="s">
        <v>2636</v>
      </c>
      <c r="B1509" s="248">
        <v>2023.0</v>
      </c>
      <c r="C1509" s="248" t="s">
        <v>2343</v>
      </c>
      <c r="D1509" s="248" t="s">
        <v>2331</v>
      </c>
      <c r="E1509" s="248" t="s">
        <v>2357</v>
      </c>
      <c r="F1509" s="248" t="s">
        <v>2327</v>
      </c>
      <c r="G1509" s="248" t="s">
        <v>34</v>
      </c>
      <c r="H1509" s="257" t="s">
        <v>2333</v>
      </c>
      <c r="I1509" s="248"/>
      <c r="J1509" s="248"/>
      <c r="K1509" s="248"/>
      <c r="L1509" s="248"/>
      <c r="M1509" s="249"/>
      <c r="N1509" s="249"/>
      <c r="O1509" s="249"/>
      <c r="P1509" s="249"/>
      <c r="Q1509" s="249"/>
      <c r="R1509" s="249"/>
      <c r="S1509" s="249"/>
      <c r="T1509" s="249"/>
      <c r="U1509" s="249"/>
      <c r="V1509" s="249"/>
    </row>
    <row r="1510">
      <c r="A1510" s="255" t="s">
        <v>2637</v>
      </c>
      <c r="B1510" s="248">
        <v>2023.0</v>
      </c>
      <c r="C1510" s="248" t="s">
        <v>2324</v>
      </c>
      <c r="D1510" s="248" t="s">
        <v>2331</v>
      </c>
      <c r="E1510" s="248" t="s">
        <v>2332</v>
      </c>
      <c r="F1510" s="248" t="s">
        <v>2336</v>
      </c>
      <c r="G1510" s="248" t="s">
        <v>34</v>
      </c>
      <c r="H1510" s="257" t="s">
        <v>2340</v>
      </c>
      <c r="I1510" s="248"/>
      <c r="J1510" s="248"/>
      <c r="K1510" s="248"/>
      <c r="L1510" s="248"/>
      <c r="M1510" s="249"/>
      <c r="N1510" s="249"/>
      <c r="O1510" s="249"/>
      <c r="P1510" s="249"/>
      <c r="Q1510" s="249"/>
      <c r="R1510" s="249"/>
      <c r="S1510" s="249"/>
      <c r="T1510" s="249"/>
      <c r="U1510" s="249"/>
      <c r="V1510" s="249"/>
    </row>
    <row r="1511">
      <c r="A1511" s="255" t="s">
        <v>2638</v>
      </c>
      <c r="B1511" s="248">
        <v>2023.0</v>
      </c>
      <c r="C1511" s="248" t="s">
        <v>2324</v>
      </c>
      <c r="D1511" s="248" t="s">
        <v>2331</v>
      </c>
      <c r="E1511" s="248" t="s">
        <v>2332</v>
      </c>
      <c r="F1511" s="248" t="s">
        <v>2336</v>
      </c>
      <c r="G1511" s="248" t="s">
        <v>34</v>
      </c>
      <c r="H1511" s="257" t="s">
        <v>2337</v>
      </c>
      <c r="I1511" s="248"/>
      <c r="J1511" s="248"/>
      <c r="K1511" s="248"/>
      <c r="L1511" s="248"/>
      <c r="M1511" s="249"/>
      <c r="N1511" s="249"/>
      <c r="O1511" s="249"/>
      <c r="P1511" s="249"/>
      <c r="Q1511" s="249"/>
      <c r="R1511" s="249"/>
      <c r="S1511" s="249"/>
      <c r="T1511" s="249"/>
      <c r="U1511" s="249"/>
      <c r="V1511" s="249"/>
    </row>
    <row r="1512">
      <c r="A1512" s="255" t="s">
        <v>2639</v>
      </c>
      <c r="B1512" s="248">
        <v>2023.0</v>
      </c>
      <c r="C1512" s="248" t="s">
        <v>2324</v>
      </c>
      <c r="D1512" s="248" t="s">
        <v>2325</v>
      </c>
      <c r="E1512" s="248" t="s">
        <v>2347</v>
      </c>
      <c r="F1512" s="248" t="s">
        <v>2327</v>
      </c>
      <c r="G1512" s="248" t="s">
        <v>34</v>
      </c>
      <c r="H1512" s="257" t="s">
        <v>2340</v>
      </c>
      <c r="I1512" s="248"/>
      <c r="J1512" s="248"/>
      <c r="K1512" s="248"/>
      <c r="L1512" s="248"/>
      <c r="M1512" s="249"/>
      <c r="N1512" s="249"/>
      <c r="O1512" s="249"/>
      <c r="P1512" s="249"/>
      <c r="Q1512" s="249"/>
      <c r="R1512" s="249"/>
      <c r="S1512" s="249"/>
      <c r="T1512" s="249"/>
      <c r="U1512" s="249"/>
      <c r="V1512" s="249"/>
    </row>
    <row r="1513">
      <c r="A1513" s="255" t="s">
        <v>2640</v>
      </c>
      <c r="B1513" s="248">
        <v>2023.0</v>
      </c>
      <c r="C1513" s="248" t="s">
        <v>2324</v>
      </c>
      <c r="D1513" s="248" t="s">
        <v>2331</v>
      </c>
      <c r="E1513" s="248" t="s">
        <v>2335</v>
      </c>
      <c r="F1513" s="248" t="s">
        <v>2370</v>
      </c>
      <c r="G1513" s="248" t="s">
        <v>34</v>
      </c>
      <c r="H1513" s="257" t="s">
        <v>2340</v>
      </c>
      <c r="I1513" s="248"/>
      <c r="J1513" s="248"/>
      <c r="K1513" s="248"/>
      <c r="L1513" s="248"/>
      <c r="M1513" s="249"/>
      <c r="N1513" s="249"/>
      <c r="O1513" s="249"/>
      <c r="P1513" s="249"/>
      <c r="Q1513" s="249"/>
      <c r="R1513" s="249"/>
      <c r="S1513" s="249"/>
      <c r="T1513" s="249"/>
      <c r="U1513" s="249"/>
      <c r="V1513" s="249"/>
    </row>
    <row r="1514">
      <c r="A1514" s="255" t="s">
        <v>2641</v>
      </c>
      <c r="B1514" s="248">
        <v>2023.0</v>
      </c>
      <c r="C1514" s="248" t="s">
        <v>2349</v>
      </c>
      <c r="D1514" s="248" t="s">
        <v>2325</v>
      </c>
      <c r="E1514" s="248" t="s">
        <v>2344</v>
      </c>
      <c r="F1514" s="248" t="s">
        <v>2327</v>
      </c>
      <c r="G1514" s="248" t="s">
        <v>34</v>
      </c>
      <c r="H1514" s="257" t="s">
        <v>2333</v>
      </c>
      <c r="I1514" s="248"/>
      <c r="J1514" s="248"/>
      <c r="K1514" s="248"/>
      <c r="L1514" s="248"/>
      <c r="M1514" s="249"/>
      <c r="N1514" s="249"/>
      <c r="O1514" s="249"/>
      <c r="P1514" s="249"/>
      <c r="Q1514" s="249"/>
      <c r="R1514" s="249"/>
      <c r="S1514" s="249"/>
      <c r="T1514" s="249"/>
      <c r="U1514" s="249"/>
      <c r="V1514" s="249"/>
    </row>
    <row r="1515">
      <c r="A1515" s="255" t="s">
        <v>2642</v>
      </c>
      <c r="B1515" s="248">
        <v>2023.0</v>
      </c>
      <c r="C1515" s="248" t="s">
        <v>2324</v>
      </c>
      <c r="D1515" s="248" t="s">
        <v>2331</v>
      </c>
      <c r="E1515" s="248" t="s">
        <v>2351</v>
      </c>
      <c r="F1515" s="248" t="s">
        <v>2327</v>
      </c>
      <c r="G1515" s="248" t="s">
        <v>34</v>
      </c>
      <c r="H1515" s="257" t="s">
        <v>2333</v>
      </c>
      <c r="I1515" s="248"/>
      <c r="J1515" s="248"/>
      <c r="K1515" s="248"/>
      <c r="L1515" s="248"/>
      <c r="M1515" s="249"/>
      <c r="N1515" s="249"/>
      <c r="O1515" s="249"/>
      <c r="P1515" s="249"/>
      <c r="Q1515" s="249"/>
      <c r="R1515" s="249"/>
      <c r="S1515" s="249"/>
      <c r="T1515" s="249"/>
      <c r="U1515" s="249"/>
      <c r="V1515" s="249"/>
    </row>
    <row r="1516">
      <c r="A1516" s="255" t="s">
        <v>2643</v>
      </c>
      <c r="B1516" s="248">
        <v>2023.0</v>
      </c>
      <c r="C1516" s="248" t="s">
        <v>2343</v>
      </c>
      <c r="D1516" s="248" t="s">
        <v>2331</v>
      </c>
      <c r="E1516" s="248" t="s">
        <v>2335</v>
      </c>
      <c r="F1516" s="248" t="s">
        <v>2327</v>
      </c>
      <c r="G1516" s="248" t="s">
        <v>34</v>
      </c>
      <c r="H1516" s="257" t="s">
        <v>2333</v>
      </c>
      <c r="I1516" s="248"/>
      <c r="J1516" s="248"/>
      <c r="K1516" s="248"/>
      <c r="L1516" s="248"/>
      <c r="M1516" s="249"/>
      <c r="N1516" s="249"/>
      <c r="O1516" s="249"/>
      <c r="P1516" s="249"/>
      <c r="Q1516" s="249"/>
      <c r="R1516" s="249"/>
      <c r="S1516" s="249"/>
      <c r="T1516" s="249"/>
      <c r="U1516" s="249"/>
      <c r="V1516" s="249"/>
    </row>
    <row r="1517">
      <c r="A1517" s="255" t="s">
        <v>2644</v>
      </c>
      <c r="B1517" s="248">
        <v>2023.0</v>
      </c>
      <c r="C1517" s="248" t="s">
        <v>2324</v>
      </c>
      <c r="D1517" s="248" t="s">
        <v>2331</v>
      </c>
      <c r="E1517" s="248" t="s">
        <v>2351</v>
      </c>
      <c r="F1517" s="248" t="s">
        <v>2327</v>
      </c>
      <c r="G1517" s="248" t="s">
        <v>34</v>
      </c>
      <c r="H1517" s="257" t="s">
        <v>2333</v>
      </c>
      <c r="I1517" s="248"/>
      <c r="J1517" s="248"/>
      <c r="K1517" s="248"/>
      <c r="L1517" s="248"/>
      <c r="M1517" s="249"/>
      <c r="N1517" s="249"/>
      <c r="O1517" s="249"/>
      <c r="P1517" s="249"/>
      <c r="Q1517" s="249"/>
      <c r="R1517" s="249"/>
      <c r="S1517" s="249"/>
      <c r="T1517" s="249"/>
      <c r="U1517" s="249"/>
      <c r="V1517" s="249"/>
    </row>
    <row r="1518">
      <c r="A1518" s="255" t="s">
        <v>2645</v>
      </c>
      <c r="B1518" s="248">
        <v>2023.0</v>
      </c>
      <c r="C1518" s="248" t="s">
        <v>2324</v>
      </c>
      <c r="D1518" s="248" t="s">
        <v>2331</v>
      </c>
      <c r="E1518" s="248" t="s">
        <v>2332</v>
      </c>
      <c r="F1518" s="248" t="s">
        <v>2327</v>
      </c>
      <c r="G1518" s="248" t="s">
        <v>34</v>
      </c>
      <c r="H1518" s="257" t="s">
        <v>2337</v>
      </c>
      <c r="I1518" s="248"/>
      <c r="J1518" s="248"/>
      <c r="K1518" s="248"/>
      <c r="L1518" s="248"/>
      <c r="M1518" s="249"/>
      <c r="N1518" s="249"/>
      <c r="O1518" s="249"/>
      <c r="P1518" s="249"/>
      <c r="Q1518" s="249"/>
      <c r="R1518" s="249"/>
      <c r="S1518" s="249"/>
      <c r="T1518" s="249"/>
      <c r="U1518" s="249"/>
      <c r="V1518" s="249"/>
    </row>
    <row r="1519">
      <c r="A1519" s="255" t="s">
        <v>2646</v>
      </c>
      <c r="B1519" s="248">
        <v>2023.0</v>
      </c>
      <c r="C1519" s="248" t="s">
        <v>2349</v>
      </c>
      <c r="D1519" s="248" t="s">
        <v>2331</v>
      </c>
      <c r="E1519" s="248" t="s">
        <v>2332</v>
      </c>
      <c r="F1519" s="248" t="s">
        <v>2327</v>
      </c>
      <c r="G1519" s="248" t="s">
        <v>34</v>
      </c>
      <c r="H1519" s="257" t="s">
        <v>2328</v>
      </c>
      <c r="I1519" s="248"/>
      <c r="J1519" s="248"/>
      <c r="K1519" s="248"/>
      <c r="L1519" s="248"/>
      <c r="M1519" s="249"/>
      <c r="N1519" s="249"/>
      <c r="O1519" s="249"/>
      <c r="P1519" s="249"/>
      <c r="Q1519" s="249"/>
      <c r="R1519" s="249"/>
      <c r="S1519" s="249"/>
      <c r="T1519" s="249"/>
      <c r="U1519" s="249"/>
      <c r="V1519" s="249"/>
    </row>
    <row r="1520">
      <c r="A1520" s="255" t="s">
        <v>2647</v>
      </c>
      <c r="B1520" s="248">
        <v>2023.0</v>
      </c>
      <c r="C1520" s="248" t="s">
        <v>2349</v>
      </c>
      <c r="D1520" s="248" t="s">
        <v>2325</v>
      </c>
      <c r="E1520" s="248" t="s">
        <v>2347</v>
      </c>
      <c r="F1520" s="248" t="s">
        <v>2336</v>
      </c>
      <c r="G1520" s="248" t="s">
        <v>34</v>
      </c>
      <c r="H1520" s="257" t="s">
        <v>2340</v>
      </c>
      <c r="I1520" s="248"/>
      <c r="J1520" s="248"/>
      <c r="K1520" s="248"/>
      <c r="L1520" s="248"/>
      <c r="M1520" s="249"/>
      <c r="N1520" s="249"/>
      <c r="O1520" s="249"/>
      <c r="P1520" s="249"/>
      <c r="Q1520" s="249"/>
      <c r="R1520" s="249"/>
      <c r="S1520" s="249"/>
      <c r="T1520" s="249"/>
      <c r="U1520" s="249"/>
      <c r="V1520" s="249"/>
    </row>
    <row r="1521">
      <c r="A1521" s="255" t="s">
        <v>2648</v>
      </c>
      <c r="B1521" s="248">
        <v>2023.0</v>
      </c>
      <c r="C1521" s="248" t="s">
        <v>2349</v>
      </c>
      <c r="D1521" s="248" t="s">
        <v>2325</v>
      </c>
      <c r="E1521" s="248" t="s">
        <v>2347</v>
      </c>
      <c r="F1521" s="248" t="s">
        <v>2370</v>
      </c>
      <c r="G1521" s="248" t="s">
        <v>34</v>
      </c>
      <c r="H1521" s="257" t="s">
        <v>2328</v>
      </c>
      <c r="I1521" s="248"/>
      <c r="J1521" s="248"/>
      <c r="K1521" s="248"/>
      <c r="L1521" s="248"/>
      <c r="M1521" s="249"/>
      <c r="N1521" s="249"/>
      <c r="O1521" s="249"/>
      <c r="P1521" s="249"/>
      <c r="Q1521" s="249"/>
      <c r="R1521" s="249"/>
      <c r="S1521" s="249"/>
      <c r="T1521" s="249"/>
      <c r="U1521" s="249"/>
      <c r="V1521" s="249"/>
    </row>
    <row r="1522">
      <c r="A1522" s="255" t="s">
        <v>2649</v>
      </c>
      <c r="B1522" s="248">
        <v>2023.0</v>
      </c>
      <c r="C1522" s="248" t="s">
        <v>2349</v>
      </c>
      <c r="D1522" s="248" t="s">
        <v>2331</v>
      </c>
      <c r="E1522" s="248" t="s">
        <v>2332</v>
      </c>
      <c r="F1522" s="248" t="s">
        <v>2336</v>
      </c>
      <c r="G1522" s="248" t="s">
        <v>34</v>
      </c>
      <c r="H1522" s="257" t="s">
        <v>2333</v>
      </c>
      <c r="I1522" s="248"/>
      <c r="J1522" s="248"/>
      <c r="K1522" s="248"/>
      <c r="L1522" s="248"/>
      <c r="M1522" s="249"/>
      <c r="N1522" s="249"/>
      <c r="O1522" s="249"/>
      <c r="P1522" s="249"/>
      <c r="Q1522" s="249"/>
      <c r="R1522" s="249"/>
      <c r="S1522" s="249"/>
      <c r="T1522" s="249"/>
      <c r="U1522" s="249"/>
      <c r="V1522" s="249"/>
    </row>
    <row r="1523">
      <c r="A1523" s="255" t="s">
        <v>2650</v>
      </c>
      <c r="B1523" s="248">
        <v>2023.0</v>
      </c>
      <c r="C1523" s="248" t="s">
        <v>2324</v>
      </c>
      <c r="D1523" s="248" t="s">
        <v>2331</v>
      </c>
      <c r="E1523" s="248" t="s">
        <v>2360</v>
      </c>
      <c r="F1523" s="248" t="s">
        <v>2336</v>
      </c>
      <c r="G1523" s="248" t="s">
        <v>34</v>
      </c>
      <c r="H1523" s="257" t="s">
        <v>2337</v>
      </c>
      <c r="I1523" s="248"/>
      <c r="J1523" s="248"/>
      <c r="K1523" s="248"/>
      <c r="L1523" s="248"/>
      <c r="M1523" s="249"/>
      <c r="N1523" s="249"/>
      <c r="O1523" s="249"/>
      <c r="P1523" s="249"/>
      <c r="Q1523" s="249"/>
      <c r="R1523" s="249"/>
      <c r="S1523" s="249"/>
      <c r="T1523" s="249"/>
      <c r="U1523" s="249"/>
      <c r="V1523" s="249"/>
    </row>
    <row r="1524">
      <c r="A1524" s="255" t="s">
        <v>2651</v>
      </c>
      <c r="B1524" s="248">
        <v>2023.0</v>
      </c>
      <c r="C1524" s="248" t="s">
        <v>2349</v>
      </c>
      <c r="D1524" s="248" t="s">
        <v>2331</v>
      </c>
      <c r="E1524" s="248" t="s">
        <v>2332</v>
      </c>
      <c r="F1524" s="248" t="s">
        <v>2336</v>
      </c>
      <c r="G1524" s="248" t="s">
        <v>34</v>
      </c>
      <c r="H1524" s="257" t="s">
        <v>2333</v>
      </c>
      <c r="I1524" s="248"/>
      <c r="J1524" s="248"/>
      <c r="K1524" s="248"/>
      <c r="L1524" s="248"/>
      <c r="M1524" s="249"/>
      <c r="N1524" s="249"/>
      <c r="O1524" s="249"/>
      <c r="P1524" s="249"/>
      <c r="Q1524" s="249"/>
      <c r="R1524" s="249"/>
      <c r="S1524" s="249"/>
      <c r="T1524" s="249"/>
      <c r="U1524" s="249"/>
      <c r="V1524" s="249"/>
    </row>
    <row r="1525">
      <c r="A1525" s="255" t="s">
        <v>2652</v>
      </c>
      <c r="B1525" s="248">
        <v>2023.0</v>
      </c>
      <c r="C1525" s="248" t="s">
        <v>2343</v>
      </c>
      <c r="D1525" s="248" t="s">
        <v>2325</v>
      </c>
      <c r="E1525" s="248" t="s">
        <v>2391</v>
      </c>
      <c r="F1525" s="248" t="s">
        <v>2327</v>
      </c>
      <c r="G1525" s="248" t="s">
        <v>34</v>
      </c>
      <c r="H1525" s="257" t="s">
        <v>2333</v>
      </c>
      <c r="I1525" s="248"/>
      <c r="J1525" s="248"/>
      <c r="K1525" s="248"/>
      <c r="L1525" s="248"/>
      <c r="M1525" s="249"/>
      <c r="N1525" s="249"/>
      <c r="O1525" s="249"/>
      <c r="P1525" s="249"/>
      <c r="Q1525" s="249"/>
      <c r="R1525" s="249"/>
      <c r="S1525" s="249"/>
      <c r="T1525" s="249"/>
      <c r="U1525" s="249"/>
      <c r="V1525" s="249"/>
    </row>
    <row r="1526">
      <c r="A1526" s="255" t="s">
        <v>2653</v>
      </c>
      <c r="B1526" s="248">
        <v>2023.0</v>
      </c>
      <c r="C1526" s="248" t="s">
        <v>2343</v>
      </c>
      <c r="D1526" s="248" t="s">
        <v>2325</v>
      </c>
      <c r="E1526" s="248" t="s">
        <v>2344</v>
      </c>
      <c r="F1526" s="248" t="s">
        <v>2327</v>
      </c>
      <c r="G1526" s="248" t="s">
        <v>34</v>
      </c>
      <c r="H1526" s="257" t="s">
        <v>2337</v>
      </c>
      <c r="I1526" s="248"/>
      <c r="J1526" s="248"/>
      <c r="K1526" s="248"/>
      <c r="L1526" s="248"/>
      <c r="M1526" s="249"/>
      <c r="N1526" s="249"/>
      <c r="O1526" s="249"/>
      <c r="P1526" s="249"/>
      <c r="Q1526" s="249"/>
      <c r="R1526" s="249"/>
      <c r="S1526" s="249"/>
      <c r="T1526" s="249"/>
      <c r="U1526" s="249"/>
      <c r="V1526" s="249"/>
    </row>
    <row r="1527">
      <c r="A1527" s="255" t="s">
        <v>2654</v>
      </c>
      <c r="B1527" s="248">
        <v>2023.0</v>
      </c>
      <c r="C1527" s="248" t="s">
        <v>2343</v>
      </c>
      <c r="D1527" s="248" t="s">
        <v>2325</v>
      </c>
      <c r="E1527" s="248" t="s">
        <v>2344</v>
      </c>
      <c r="F1527" s="248" t="s">
        <v>2336</v>
      </c>
      <c r="G1527" s="248" t="s">
        <v>34</v>
      </c>
      <c r="H1527" s="257" t="s">
        <v>2328</v>
      </c>
      <c r="I1527" s="248"/>
      <c r="J1527" s="248"/>
      <c r="K1527" s="248"/>
      <c r="L1527" s="248"/>
      <c r="M1527" s="249"/>
      <c r="N1527" s="249"/>
      <c r="O1527" s="249"/>
      <c r="P1527" s="249"/>
      <c r="Q1527" s="249"/>
      <c r="R1527" s="249"/>
      <c r="S1527" s="249"/>
      <c r="T1527" s="249"/>
      <c r="U1527" s="249"/>
      <c r="V1527" s="249"/>
    </row>
    <row r="1528">
      <c r="A1528" s="255" t="s">
        <v>2655</v>
      </c>
      <c r="B1528" s="248">
        <v>2023.0</v>
      </c>
      <c r="C1528" s="248" t="s">
        <v>2343</v>
      </c>
      <c r="D1528" s="248" t="s">
        <v>2331</v>
      </c>
      <c r="E1528" s="248" t="s">
        <v>2360</v>
      </c>
      <c r="F1528" s="248" t="s">
        <v>2336</v>
      </c>
      <c r="G1528" s="248" t="s">
        <v>34</v>
      </c>
      <c r="H1528" s="257" t="s">
        <v>2340</v>
      </c>
      <c r="I1528" s="248"/>
      <c r="J1528" s="248"/>
      <c r="K1528" s="248"/>
      <c r="L1528" s="248"/>
      <c r="M1528" s="249"/>
      <c r="N1528" s="249"/>
      <c r="O1528" s="249"/>
      <c r="P1528" s="249"/>
      <c r="Q1528" s="249"/>
      <c r="R1528" s="249"/>
      <c r="S1528" s="249"/>
      <c r="T1528" s="249"/>
      <c r="U1528" s="249"/>
      <c r="V1528" s="249"/>
    </row>
    <row r="1529">
      <c r="A1529" s="255" t="s">
        <v>2656</v>
      </c>
      <c r="B1529" s="248">
        <v>2023.0</v>
      </c>
      <c r="C1529" s="248" t="s">
        <v>2324</v>
      </c>
      <c r="D1529" s="248" t="s">
        <v>2331</v>
      </c>
      <c r="E1529" s="248" t="s">
        <v>2357</v>
      </c>
      <c r="F1529" s="248" t="s">
        <v>2327</v>
      </c>
      <c r="G1529" s="248" t="s">
        <v>34</v>
      </c>
      <c r="H1529" s="257" t="s">
        <v>2333</v>
      </c>
      <c r="I1529" s="248"/>
      <c r="J1529" s="248"/>
      <c r="K1529" s="248"/>
      <c r="L1529" s="248"/>
      <c r="M1529" s="249"/>
      <c r="N1529" s="249"/>
      <c r="O1529" s="249"/>
      <c r="P1529" s="249"/>
      <c r="Q1529" s="249"/>
      <c r="R1529" s="249"/>
      <c r="S1529" s="249"/>
      <c r="T1529" s="249"/>
      <c r="U1529" s="249"/>
      <c r="V1529" s="249"/>
    </row>
    <row r="1530">
      <c r="A1530" s="255" t="s">
        <v>2657</v>
      </c>
      <c r="B1530" s="248">
        <v>2023.0</v>
      </c>
      <c r="C1530" s="248" t="s">
        <v>2324</v>
      </c>
      <c r="D1530" s="248" t="s">
        <v>2331</v>
      </c>
      <c r="E1530" s="248" t="s">
        <v>2360</v>
      </c>
      <c r="F1530" s="248" t="s">
        <v>2327</v>
      </c>
      <c r="G1530" s="248" t="s">
        <v>34</v>
      </c>
      <c r="H1530" s="257" t="s">
        <v>2337</v>
      </c>
      <c r="I1530" s="248"/>
      <c r="J1530" s="248"/>
      <c r="K1530" s="248"/>
      <c r="L1530" s="248"/>
      <c r="M1530" s="249"/>
      <c r="N1530" s="249"/>
      <c r="O1530" s="249"/>
      <c r="P1530" s="249"/>
      <c r="Q1530" s="249"/>
      <c r="R1530" s="249"/>
      <c r="S1530" s="249"/>
      <c r="T1530" s="249"/>
      <c r="U1530" s="249"/>
      <c r="V1530" s="249"/>
    </row>
    <row r="1531">
      <c r="A1531" s="255" t="s">
        <v>2658</v>
      </c>
      <c r="B1531" s="248">
        <v>2023.0</v>
      </c>
      <c r="C1531" s="248" t="s">
        <v>2349</v>
      </c>
      <c r="D1531" s="248" t="s">
        <v>2331</v>
      </c>
      <c r="E1531" s="248" t="s">
        <v>2351</v>
      </c>
      <c r="F1531" s="248" t="s">
        <v>2336</v>
      </c>
      <c r="G1531" s="248" t="s">
        <v>34</v>
      </c>
      <c r="H1531" s="257" t="s">
        <v>2340</v>
      </c>
      <c r="I1531" s="248"/>
      <c r="J1531" s="248"/>
      <c r="K1531" s="248"/>
      <c r="L1531" s="248"/>
      <c r="M1531" s="249"/>
      <c r="N1531" s="249"/>
      <c r="O1531" s="249"/>
      <c r="P1531" s="249"/>
      <c r="Q1531" s="249"/>
      <c r="R1531" s="249"/>
      <c r="S1531" s="249"/>
      <c r="T1531" s="249"/>
      <c r="U1531" s="249"/>
      <c r="V1531" s="249"/>
    </row>
    <row r="1532">
      <c r="A1532" s="255" t="s">
        <v>2659</v>
      </c>
      <c r="B1532" s="248">
        <v>2023.0</v>
      </c>
      <c r="C1532" s="248" t="s">
        <v>2324</v>
      </c>
      <c r="D1532" s="248" t="s">
        <v>2331</v>
      </c>
      <c r="E1532" s="248" t="s">
        <v>2335</v>
      </c>
      <c r="F1532" s="248" t="s">
        <v>2327</v>
      </c>
      <c r="G1532" s="248" t="s">
        <v>34</v>
      </c>
      <c r="H1532" s="257" t="s">
        <v>2340</v>
      </c>
      <c r="I1532" s="248"/>
      <c r="J1532" s="248"/>
      <c r="K1532" s="248"/>
      <c r="L1532" s="248"/>
      <c r="M1532" s="249"/>
      <c r="N1532" s="249"/>
      <c r="O1532" s="249"/>
      <c r="P1532" s="249"/>
      <c r="Q1532" s="249"/>
      <c r="R1532" s="249"/>
      <c r="S1532" s="249"/>
      <c r="T1532" s="249"/>
      <c r="U1532" s="249"/>
      <c r="V1532" s="249"/>
    </row>
    <row r="1533">
      <c r="A1533" s="255" t="s">
        <v>2660</v>
      </c>
      <c r="B1533" s="248">
        <v>2023.0</v>
      </c>
      <c r="C1533" s="248" t="s">
        <v>2324</v>
      </c>
      <c r="D1533" s="248" t="s">
        <v>2325</v>
      </c>
      <c r="E1533" s="248" t="s">
        <v>2347</v>
      </c>
      <c r="F1533" s="248" t="s">
        <v>2336</v>
      </c>
      <c r="G1533" s="248" t="s">
        <v>34</v>
      </c>
      <c r="H1533" s="257" t="s">
        <v>2333</v>
      </c>
      <c r="I1533" s="248"/>
      <c r="J1533" s="248"/>
      <c r="K1533" s="248"/>
      <c r="L1533" s="248"/>
      <c r="M1533" s="249"/>
      <c r="N1533" s="249"/>
      <c r="O1533" s="249"/>
      <c r="P1533" s="249"/>
      <c r="Q1533" s="249"/>
      <c r="R1533" s="249"/>
      <c r="S1533" s="249"/>
      <c r="T1533" s="249"/>
      <c r="U1533" s="249"/>
      <c r="V1533" s="249"/>
    </row>
    <row r="1534">
      <c r="A1534" s="255" t="s">
        <v>2661</v>
      </c>
      <c r="B1534" s="248">
        <v>2023.0</v>
      </c>
      <c r="C1534" s="248" t="s">
        <v>2349</v>
      </c>
      <c r="D1534" s="248" t="s">
        <v>2331</v>
      </c>
      <c r="E1534" s="248" t="s">
        <v>2394</v>
      </c>
      <c r="F1534" s="248" t="s">
        <v>2336</v>
      </c>
      <c r="G1534" s="248" t="s">
        <v>34</v>
      </c>
      <c r="H1534" s="257" t="s">
        <v>2340</v>
      </c>
      <c r="I1534" s="248"/>
      <c r="J1534" s="248"/>
      <c r="K1534" s="248"/>
      <c r="L1534" s="248"/>
      <c r="M1534" s="249"/>
      <c r="N1534" s="249"/>
      <c r="O1534" s="249"/>
      <c r="P1534" s="249"/>
      <c r="Q1534" s="249"/>
      <c r="R1534" s="249"/>
      <c r="S1534" s="249"/>
      <c r="T1534" s="249"/>
      <c r="U1534" s="249"/>
      <c r="V1534" s="249"/>
    </row>
    <row r="1535">
      <c r="A1535" s="255" t="s">
        <v>2662</v>
      </c>
      <c r="B1535" s="248">
        <v>2023.0</v>
      </c>
      <c r="C1535" s="248" t="s">
        <v>2349</v>
      </c>
      <c r="D1535" s="248" t="s">
        <v>2331</v>
      </c>
      <c r="E1535" s="248" t="s">
        <v>2394</v>
      </c>
      <c r="F1535" s="248" t="s">
        <v>2336</v>
      </c>
      <c r="G1535" s="248" t="s">
        <v>34</v>
      </c>
      <c r="H1535" s="257" t="s">
        <v>2328</v>
      </c>
      <c r="I1535" s="248"/>
      <c r="J1535" s="248"/>
      <c r="K1535" s="248"/>
      <c r="L1535" s="248"/>
      <c r="M1535" s="249"/>
      <c r="N1535" s="249"/>
      <c r="O1535" s="249"/>
      <c r="P1535" s="249"/>
      <c r="Q1535" s="249"/>
      <c r="R1535" s="249"/>
      <c r="S1535" s="249"/>
      <c r="T1535" s="249"/>
      <c r="U1535" s="249"/>
      <c r="V1535" s="249"/>
    </row>
    <row r="1536">
      <c r="A1536" s="255" t="s">
        <v>2663</v>
      </c>
      <c r="B1536" s="248">
        <v>2023.0</v>
      </c>
      <c r="C1536" s="248" t="s">
        <v>2324</v>
      </c>
      <c r="D1536" s="248" t="s">
        <v>2325</v>
      </c>
      <c r="E1536" s="248" t="s">
        <v>2347</v>
      </c>
      <c r="F1536" s="248" t="s">
        <v>2336</v>
      </c>
      <c r="G1536" s="248" t="s">
        <v>34</v>
      </c>
      <c r="H1536" s="257" t="s">
        <v>2333</v>
      </c>
      <c r="I1536" s="248"/>
      <c r="J1536" s="248"/>
      <c r="K1536" s="248"/>
      <c r="L1536" s="248"/>
      <c r="M1536" s="249"/>
      <c r="N1536" s="249"/>
      <c r="O1536" s="249"/>
      <c r="P1536" s="249"/>
      <c r="Q1536" s="249"/>
      <c r="R1536" s="249"/>
      <c r="S1536" s="249"/>
      <c r="T1536" s="249"/>
      <c r="U1536" s="249"/>
      <c r="V1536" s="249"/>
    </row>
    <row r="1537">
      <c r="A1537" s="255" t="s">
        <v>2664</v>
      </c>
      <c r="B1537" s="248">
        <v>2023.0</v>
      </c>
      <c r="C1537" s="248" t="s">
        <v>2324</v>
      </c>
      <c r="D1537" s="248" t="s">
        <v>2331</v>
      </c>
      <c r="E1537" s="248" t="s">
        <v>2357</v>
      </c>
      <c r="F1537" s="248" t="s">
        <v>2327</v>
      </c>
      <c r="G1537" s="248" t="s">
        <v>34</v>
      </c>
      <c r="H1537" s="257" t="s">
        <v>2340</v>
      </c>
      <c r="I1537" s="248"/>
      <c r="J1537" s="248"/>
      <c r="K1537" s="248"/>
      <c r="L1537" s="248"/>
      <c r="M1537" s="249"/>
      <c r="N1537" s="249"/>
      <c r="O1537" s="249"/>
      <c r="P1537" s="249"/>
      <c r="Q1537" s="249"/>
      <c r="R1537" s="249"/>
      <c r="S1537" s="249"/>
      <c r="T1537" s="249"/>
      <c r="U1537" s="249"/>
      <c r="V1537" s="249"/>
    </row>
    <row r="1538">
      <c r="A1538" s="255" t="s">
        <v>2665</v>
      </c>
      <c r="B1538" s="248">
        <v>2023.0</v>
      </c>
      <c r="C1538" s="248" t="s">
        <v>2324</v>
      </c>
      <c r="D1538" s="248" t="s">
        <v>2331</v>
      </c>
      <c r="E1538" s="248" t="s">
        <v>2362</v>
      </c>
      <c r="F1538" s="248" t="s">
        <v>2327</v>
      </c>
      <c r="G1538" s="248" t="s">
        <v>34</v>
      </c>
      <c r="H1538" s="257" t="s">
        <v>2328</v>
      </c>
      <c r="I1538" s="248"/>
      <c r="J1538" s="248"/>
      <c r="K1538" s="248"/>
      <c r="L1538" s="248"/>
      <c r="M1538" s="249"/>
      <c r="N1538" s="249"/>
      <c r="O1538" s="249"/>
      <c r="P1538" s="249"/>
      <c r="Q1538" s="249"/>
      <c r="R1538" s="249"/>
      <c r="S1538" s="249"/>
      <c r="T1538" s="249"/>
      <c r="U1538" s="249"/>
      <c r="V1538" s="249"/>
    </row>
    <row r="1539">
      <c r="A1539" s="255" t="s">
        <v>2666</v>
      </c>
      <c r="B1539" s="248">
        <v>2023.0</v>
      </c>
      <c r="C1539" s="248" t="s">
        <v>2324</v>
      </c>
      <c r="D1539" s="248" t="s">
        <v>2331</v>
      </c>
      <c r="E1539" s="248" t="s">
        <v>2667</v>
      </c>
      <c r="F1539" s="248" t="s">
        <v>2370</v>
      </c>
      <c r="G1539" s="248" t="s">
        <v>34</v>
      </c>
      <c r="H1539" s="257" t="s">
        <v>2337</v>
      </c>
      <c r="I1539" s="248"/>
      <c r="J1539" s="248"/>
      <c r="K1539" s="248"/>
      <c r="L1539" s="248"/>
      <c r="M1539" s="249"/>
      <c r="N1539" s="249"/>
      <c r="O1539" s="249"/>
      <c r="P1539" s="249"/>
      <c r="Q1539" s="249"/>
      <c r="R1539" s="249"/>
      <c r="S1539" s="249"/>
      <c r="T1539" s="249"/>
      <c r="U1539" s="249"/>
      <c r="V1539" s="249"/>
    </row>
    <row r="1540">
      <c r="A1540" s="255" t="s">
        <v>2668</v>
      </c>
      <c r="B1540" s="248">
        <v>2023.0</v>
      </c>
      <c r="C1540" s="248" t="s">
        <v>2324</v>
      </c>
      <c r="D1540" s="248" t="s">
        <v>2325</v>
      </c>
      <c r="E1540" s="248" t="s">
        <v>2357</v>
      </c>
      <c r="F1540" s="248" t="s">
        <v>2336</v>
      </c>
      <c r="G1540" s="248" t="s">
        <v>34</v>
      </c>
      <c r="H1540" s="257" t="s">
        <v>2333</v>
      </c>
      <c r="I1540" s="248"/>
      <c r="J1540" s="248"/>
      <c r="K1540" s="248"/>
      <c r="L1540" s="248"/>
      <c r="M1540" s="249"/>
      <c r="N1540" s="249"/>
      <c r="O1540" s="249"/>
      <c r="P1540" s="249"/>
      <c r="Q1540" s="249"/>
      <c r="R1540" s="249"/>
      <c r="S1540" s="249"/>
      <c r="T1540" s="249"/>
      <c r="U1540" s="249"/>
      <c r="V1540" s="249"/>
    </row>
    <row r="1541">
      <c r="A1541" s="255" t="s">
        <v>2669</v>
      </c>
      <c r="B1541" s="248">
        <v>2023.0</v>
      </c>
      <c r="C1541" s="248" t="s">
        <v>2330</v>
      </c>
      <c r="D1541" s="248" t="s">
        <v>2331</v>
      </c>
      <c r="E1541" s="248" t="s">
        <v>2360</v>
      </c>
      <c r="F1541" s="248" t="s">
        <v>2336</v>
      </c>
      <c r="G1541" s="248" t="s">
        <v>34</v>
      </c>
      <c r="H1541" s="257" t="s">
        <v>2337</v>
      </c>
      <c r="I1541" s="248"/>
      <c r="J1541" s="248"/>
      <c r="K1541" s="248"/>
      <c r="L1541" s="248"/>
      <c r="M1541" s="249"/>
      <c r="N1541" s="249"/>
      <c r="O1541" s="249"/>
      <c r="P1541" s="249"/>
      <c r="Q1541" s="249"/>
      <c r="R1541" s="249"/>
      <c r="S1541" s="249"/>
      <c r="T1541" s="249"/>
      <c r="U1541" s="249"/>
      <c r="V1541" s="249"/>
    </row>
    <row r="1542">
      <c r="A1542" s="255" t="s">
        <v>2670</v>
      </c>
      <c r="B1542" s="248">
        <v>2023.0</v>
      </c>
      <c r="C1542" s="248" t="s">
        <v>2330</v>
      </c>
      <c r="D1542" s="248" t="s">
        <v>2331</v>
      </c>
      <c r="E1542" s="248" t="s">
        <v>2394</v>
      </c>
      <c r="F1542" s="248" t="s">
        <v>2327</v>
      </c>
      <c r="G1542" s="248" t="s">
        <v>34</v>
      </c>
      <c r="H1542" s="257" t="s">
        <v>2328</v>
      </c>
      <c r="I1542" s="248"/>
      <c r="J1542" s="248"/>
      <c r="K1542" s="248"/>
      <c r="L1542" s="248"/>
      <c r="M1542" s="249"/>
      <c r="N1542" s="249"/>
      <c r="O1542" s="249"/>
      <c r="P1542" s="249"/>
      <c r="Q1542" s="249"/>
      <c r="R1542" s="249"/>
      <c r="S1542" s="249"/>
      <c r="T1542" s="249"/>
      <c r="U1542" s="249"/>
      <c r="V1542" s="249"/>
    </row>
    <row r="1543">
      <c r="A1543" s="255" t="s">
        <v>2671</v>
      </c>
      <c r="B1543" s="248">
        <v>2023.0</v>
      </c>
      <c r="C1543" s="248" t="s">
        <v>2324</v>
      </c>
      <c r="D1543" s="248" t="s">
        <v>2331</v>
      </c>
      <c r="E1543" s="248" t="s">
        <v>2672</v>
      </c>
      <c r="F1543" s="248" t="s">
        <v>2327</v>
      </c>
      <c r="G1543" s="248" t="s">
        <v>34</v>
      </c>
      <c r="H1543" s="257" t="s">
        <v>2340</v>
      </c>
      <c r="I1543" s="248"/>
      <c r="J1543" s="248"/>
      <c r="K1543" s="248"/>
      <c r="L1543" s="248"/>
      <c r="M1543" s="249"/>
      <c r="N1543" s="249"/>
      <c r="O1543" s="249"/>
      <c r="P1543" s="249"/>
      <c r="Q1543" s="249"/>
      <c r="R1543" s="249"/>
      <c r="S1543" s="249"/>
      <c r="T1543" s="249"/>
      <c r="U1543" s="249"/>
      <c r="V1543" s="249"/>
    </row>
    <row r="1544">
      <c r="A1544" s="255" t="s">
        <v>2673</v>
      </c>
      <c r="B1544" s="248">
        <v>2023.0</v>
      </c>
      <c r="C1544" s="248" t="s">
        <v>2324</v>
      </c>
      <c r="D1544" s="248" t="s">
        <v>2331</v>
      </c>
      <c r="E1544" s="248" t="s">
        <v>2351</v>
      </c>
      <c r="F1544" s="248" t="s">
        <v>2327</v>
      </c>
      <c r="G1544" s="248" t="s">
        <v>34</v>
      </c>
      <c r="H1544" s="257" t="s">
        <v>2333</v>
      </c>
      <c r="I1544" s="248"/>
      <c r="J1544" s="248"/>
      <c r="K1544" s="248"/>
      <c r="L1544" s="248"/>
      <c r="M1544" s="249"/>
      <c r="N1544" s="249"/>
      <c r="O1544" s="249"/>
      <c r="P1544" s="249"/>
      <c r="Q1544" s="249"/>
      <c r="R1544" s="249"/>
      <c r="S1544" s="249"/>
      <c r="T1544" s="249"/>
      <c r="U1544" s="249"/>
      <c r="V1544" s="249"/>
    </row>
    <row r="1545">
      <c r="A1545" s="255" t="s">
        <v>2674</v>
      </c>
      <c r="B1545" s="248">
        <v>2023.0</v>
      </c>
      <c r="C1545" s="248" t="s">
        <v>2349</v>
      </c>
      <c r="D1545" s="248" t="s">
        <v>2331</v>
      </c>
      <c r="E1545" s="248" t="s">
        <v>2675</v>
      </c>
      <c r="F1545" s="248" t="s">
        <v>2327</v>
      </c>
      <c r="G1545" s="248" t="s">
        <v>34</v>
      </c>
      <c r="H1545" s="257" t="s">
        <v>2340</v>
      </c>
      <c r="I1545" s="248"/>
      <c r="J1545" s="248"/>
      <c r="K1545" s="248"/>
      <c r="L1545" s="248"/>
      <c r="M1545" s="249"/>
      <c r="N1545" s="249"/>
      <c r="O1545" s="249"/>
      <c r="P1545" s="249"/>
      <c r="Q1545" s="249"/>
      <c r="R1545" s="249"/>
      <c r="S1545" s="249"/>
      <c r="T1545" s="249"/>
      <c r="U1545" s="249"/>
      <c r="V1545" s="249"/>
    </row>
    <row r="1546">
      <c r="A1546" s="255" t="s">
        <v>2676</v>
      </c>
      <c r="B1546" s="248">
        <v>2023.0</v>
      </c>
      <c r="C1546" s="248" t="s">
        <v>2349</v>
      </c>
      <c r="D1546" s="248" t="s">
        <v>2331</v>
      </c>
      <c r="E1546" s="248" t="s">
        <v>2357</v>
      </c>
      <c r="F1546" s="248" t="s">
        <v>2327</v>
      </c>
      <c r="G1546" s="248" t="s">
        <v>34</v>
      </c>
      <c r="H1546" s="257" t="s">
        <v>2333</v>
      </c>
      <c r="I1546" s="248"/>
      <c r="J1546" s="248"/>
      <c r="K1546" s="248"/>
      <c r="L1546" s="248"/>
      <c r="M1546" s="249"/>
      <c r="N1546" s="249"/>
      <c r="O1546" s="249"/>
      <c r="P1546" s="249"/>
      <c r="Q1546" s="249"/>
      <c r="R1546" s="249"/>
      <c r="S1546" s="249"/>
      <c r="T1546" s="249"/>
      <c r="U1546" s="249"/>
      <c r="V1546" s="249"/>
    </row>
    <row r="1547">
      <c r="A1547" s="288" t="s">
        <v>2677</v>
      </c>
      <c r="B1547" s="276">
        <v>2023.0</v>
      </c>
      <c r="C1547" s="276" t="s">
        <v>2324</v>
      </c>
      <c r="D1547" s="276" t="s">
        <v>2331</v>
      </c>
      <c r="E1547" s="276" t="s">
        <v>2394</v>
      </c>
      <c r="F1547" s="276" t="s">
        <v>2327</v>
      </c>
      <c r="G1547" s="276" t="s">
        <v>34</v>
      </c>
      <c r="H1547" s="290" t="s">
        <v>2340</v>
      </c>
      <c r="I1547" s="248"/>
      <c r="J1547" s="248"/>
      <c r="K1547" s="248"/>
      <c r="L1547" s="248"/>
      <c r="M1547" s="249"/>
      <c r="N1547" s="249"/>
      <c r="O1547" s="249"/>
      <c r="P1547" s="249"/>
      <c r="Q1547" s="249"/>
      <c r="R1547" s="249"/>
      <c r="S1547" s="249"/>
      <c r="T1547" s="249"/>
      <c r="U1547" s="249"/>
      <c r="V1547" s="249"/>
    </row>
    <row r="1548">
      <c r="A1548" s="248"/>
      <c r="B1548" s="248"/>
      <c r="C1548" s="248"/>
      <c r="D1548" s="248"/>
      <c r="E1548" s="248"/>
      <c r="F1548" s="248"/>
      <c r="G1548" s="248"/>
      <c r="H1548" s="248"/>
      <c r="I1548" s="248"/>
      <c r="J1548" s="248"/>
      <c r="K1548" s="248"/>
      <c r="L1548" s="248"/>
      <c r="M1548" s="249"/>
      <c r="N1548" s="249"/>
      <c r="O1548" s="249"/>
      <c r="P1548" s="249"/>
      <c r="Q1548" s="249"/>
      <c r="R1548" s="249"/>
      <c r="S1548" s="249"/>
      <c r="T1548" s="249"/>
      <c r="U1548" s="249"/>
      <c r="V1548" s="249"/>
    </row>
    <row r="1549">
      <c r="A1549" s="291" t="s">
        <v>2678</v>
      </c>
      <c r="B1549" s="248"/>
      <c r="C1549" s="248"/>
      <c r="D1549" s="248"/>
      <c r="E1549" s="248"/>
      <c r="F1549" s="248"/>
      <c r="G1549" s="248"/>
      <c r="H1549" s="248"/>
      <c r="I1549" s="248"/>
      <c r="J1549" s="248"/>
      <c r="K1549" s="248"/>
      <c r="L1549" s="248"/>
      <c r="M1549" s="249"/>
      <c r="N1549" s="249"/>
      <c r="O1549" s="249"/>
      <c r="P1549" s="249"/>
      <c r="Q1549" s="249"/>
      <c r="R1549" s="249"/>
      <c r="S1549" s="249"/>
      <c r="T1549" s="249"/>
      <c r="U1549" s="249"/>
      <c r="V1549" s="249"/>
    </row>
    <row r="1550">
      <c r="A1550" s="248"/>
      <c r="B1550" s="248"/>
      <c r="C1550" s="248"/>
      <c r="D1550" s="248"/>
      <c r="E1550" s="248"/>
      <c r="F1550" s="248"/>
      <c r="G1550" s="248"/>
      <c r="H1550" s="248"/>
      <c r="I1550" s="248"/>
      <c r="J1550" s="248"/>
      <c r="K1550" s="248"/>
      <c r="L1550" s="248"/>
      <c r="M1550" s="249"/>
      <c r="N1550" s="249"/>
      <c r="O1550" s="249"/>
      <c r="P1550" s="249"/>
      <c r="Q1550" s="249"/>
      <c r="R1550" s="249"/>
      <c r="S1550" s="249"/>
      <c r="T1550" s="249"/>
      <c r="U1550" s="249"/>
      <c r="V1550" s="249"/>
    </row>
  </sheetData>
  <mergeCells count="1">
    <mergeCell ref="A1:V1"/>
  </mergeCells>
  <hyperlinks>
    <hyperlink r:id="rId1" ref="A1"/>
    <hyperlink r:id="rId2" ref="A1217"/>
    <hyperlink r:id="rId3" ref="A1549"/>
  </hyperlinks>
  <drawing r:id="rId4"/>
</worksheet>
</file>